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75" yWindow="285" windowWidth="19320" windowHeight="11160" activeTab="5"/>
  </bookViews>
  <sheets>
    <sheet name="Горива" sheetId="11" r:id="rId1"/>
    <sheet name="Договори" sheetId="12" r:id="rId2"/>
    <sheet name="ТП" sheetId="9" r:id="rId3"/>
    <sheet name="Разходи " sheetId="15" r:id="rId4"/>
    <sheet name="РБА" sheetId="5" r:id="rId5"/>
    <sheet name="НВ" sheetId="4" r:id="rId6"/>
    <sheet name="ТИП " sheetId="16" r:id="rId7"/>
  </sheets>
  <definedNames>
    <definedName name="_xlnm.Print_Titles" localSheetId="0">Горива!$A:$B</definedName>
  </definedNames>
  <calcPr calcId="125725"/>
</workbook>
</file>

<file path=xl/calcChain.xml><?xml version="1.0" encoding="utf-8"?>
<calcChain xmlns="http://schemas.openxmlformats.org/spreadsheetml/2006/main">
  <c r="E65" i="15"/>
  <c r="N26" i="9" l="1"/>
  <c r="AC11" i="11" l="1"/>
  <c r="AB11"/>
  <c r="Z11"/>
  <c r="Y11"/>
  <c r="X11"/>
  <c r="Q26" i="9"/>
  <c r="N15"/>
  <c r="N18" s="1"/>
  <c r="N45" l="1"/>
  <c r="N47"/>
  <c r="N16"/>
  <c r="N8" l="1"/>
  <c r="D16" i="4"/>
  <c r="D19" s="1"/>
  <c r="D14" i="15"/>
  <c r="D13" s="1"/>
  <c r="E17"/>
  <c r="D14" i="4" l="1"/>
  <c r="D22" s="1"/>
  <c r="N41" i="9" l="1"/>
  <c r="Q41" s="1"/>
  <c r="N39"/>
  <c r="Q17"/>
  <c r="N42"/>
  <c r="Q42" s="1"/>
  <c r="G42"/>
  <c r="J42" s="1"/>
  <c r="N36"/>
  <c r="N40" s="1"/>
  <c r="Q28"/>
  <c r="Q25"/>
  <c r="Q23"/>
  <c r="Q22"/>
  <c r="Q20"/>
  <c r="J28"/>
  <c r="J27"/>
  <c r="Q27" s="1"/>
  <c r="J25"/>
  <c r="J23"/>
  <c r="J22"/>
  <c r="J20"/>
  <c r="E63" i="15"/>
  <c r="A7" i="16"/>
  <c r="A8" i="4"/>
  <c r="A5" i="5"/>
  <c r="A4" i="15"/>
  <c r="D21"/>
  <c r="N7" i="9"/>
  <c r="O7"/>
  <c r="P7" s="1"/>
  <c r="Q7" s="1"/>
  <c r="Q8"/>
  <c r="K9"/>
  <c r="L9"/>
  <c r="M9"/>
  <c r="O9"/>
  <c r="P9"/>
  <c r="K10"/>
  <c r="L10"/>
  <c r="M10"/>
  <c r="O10"/>
  <c r="P10"/>
  <c r="K12"/>
  <c r="K24"/>
  <c r="K31" s="1"/>
  <c r="L12"/>
  <c r="L24" s="1"/>
  <c r="M12"/>
  <c r="M24" s="1"/>
  <c r="O12"/>
  <c r="O24" s="1"/>
  <c r="O31" s="1"/>
  <c r="P12"/>
  <c r="P24" s="1"/>
  <c r="Q15"/>
  <c r="E57" i="15" s="1"/>
  <c r="Q16" i="9"/>
  <c r="K19"/>
  <c r="L19"/>
  <c r="M19"/>
  <c r="O19"/>
  <c r="P19"/>
  <c r="K29"/>
  <c r="L29"/>
  <c r="M29"/>
  <c r="O29"/>
  <c r="P29"/>
  <c r="K30"/>
  <c r="L30"/>
  <c r="M30"/>
  <c r="O30"/>
  <c r="P30"/>
  <c r="K32"/>
  <c r="L32"/>
  <c r="M32"/>
  <c r="O32"/>
  <c r="P32"/>
  <c r="K33"/>
  <c r="L33"/>
  <c r="M33"/>
  <c r="N33"/>
  <c r="O33"/>
  <c r="P33"/>
  <c r="Q34"/>
  <c r="Q33" s="1"/>
  <c r="Q35"/>
  <c r="Q36"/>
  <c r="K37"/>
  <c r="K38" s="1"/>
  <c r="L37"/>
  <c r="L38" s="1"/>
  <c r="M37"/>
  <c r="M38" s="1"/>
  <c r="O37"/>
  <c r="O38"/>
  <c r="P37"/>
  <c r="P38"/>
  <c r="K39"/>
  <c r="L39"/>
  <c r="M39"/>
  <c r="O39"/>
  <c r="P39"/>
  <c r="K40"/>
  <c r="L40"/>
  <c r="M40"/>
  <c r="O40"/>
  <c r="P40"/>
  <c r="K43"/>
  <c r="L43"/>
  <c r="M43"/>
  <c r="N43"/>
  <c r="O43"/>
  <c r="P43"/>
  <c r="K44"/>
  <c r="L44"/>
  <c r="M44"/>
  <c r="O44"/>
  <c r="P44"/>
  <c r="Q45"/>
  <c r="Q47"/>
  <c r="D17" i="15"/>
  <c r="J14" i="9"/>
  <c r="D56" i="15"/>
  <c r="J15" i="9"/>
  <c r="D57" i="15" s="1"/>
  <c r="J17" i="9"/>
  <c r="D59" i="15" s="1"/>
  <c r="J18" i="9"/>
  <c r="D62" i="15"/>
  <c r="C10" i="5"/>
  <c r="C23" s="1"/>
  <c r="D10"/>
  <c r="E10"/>
  <c r="E23" s="1"/>
  <c r="F10"/>
  <c r="G10"/>
  <c r="H10"/>
  <c r="H23" s="1"/>
  <c r="I21"/>
  <c r="J11" i="9"/>
  <c r="D13" i="16" s="1"/>
  <c r="J45" i="9"/>
  <c r="J46"/>
  <c r="I19" i="5"/>
  <c r="I20"/>
  <c r="C18"/>
  <c r="D18"/>
  <c r="E18"/>
  <c r="F18"/>
  <c r="G18"/>
  <c r="H18"/>
  <c r="I11"/>
  <c r="I12"/>
  <c r="I13"/>
  <c r="I14"/>
  <c r="I15"/>
  <c r="I16"/>
  <c r="I17"/>
  <c r="J47" i="9"/>
  <c r="J48"/>
  <c r="J41"/>
  <c r="J43" s="1"/>
  <c r="J36"/>
  <c r="J35"/>
  <c r="J34"/>
  <c r="H12"/>
  <c r="H24"/>
  <c r="I12"/>
  <c r="I24"/>
  <c r="I31" s="1"/>
  <c r="D12"/>
  <c r="D24" s="1"/>
  <c r="D31" s="1"/>
  <c r="E12"/>
  <c r="E24" s="1"/>
  <c r="E31" s="1"/>
  <c r="F12"/>
  <c r="F24"/>
  <c r="G12"/>
  <c r="J16"/>
  <c r="J8"/>
  <c r="D9"/>
  <c r="E9"/>
  <c r="F9"/>
  <c r="G9"/>
  <c r="H9"/>
  <c r="I9"/>
  <c r="D44"/>
  <c r="E44"/>
  <c r="F44"/>
  <c r="G44"/>
  <c r="H44"/>
  <c r="I44"/>
  <c r="D43"/>
  <c r="E43"/>
  <c r="F43"/>
  <c r="G43"/>
  <c r="H43"/>
  <c r="I43"/>
  <c r="D39"/>
  <c r="E39"/>
  <c r="F39"/>
  <c r="G39"/>
  <c r="H39"/>
  <c r="I39"/>
  <c r="D37"/>
  <c r="D38"/>
  <c r="E37"/>
  <c r="E38" s="1"/>
  <c r="F37"/>
  <c r="F38" s="1"/>
  <c r="H37"/>
  <c r="H38"/>
  <c r="I37"/>
  <c r="I38" s="1"/>
  <c r="D33"/>
  <c r="E33"/>
  <c r="F33"/>
  <c r="G33"/>
  <c r="H33"/>
  <c r="I33"/>
  <c r="J33"/>
  <c r="D32"/>
  <c r="E32"/>
  <c r="F32"/>
  <c r="H32"/>
  <c r="I32"/>
  <c r="D30"/>
  <c r="E30"/>
  <c r="F30"/>
  <c r="H30"/>
  <c r="I30"/>
  <c r="D19"/>
  <c r="E19"/>
  <c r="F19"/>
  <c r="H19"/>
  <c r="I19"/>
  <c r="D10"/>
  <c r="E10"/>
  <c r="F10"/>
  <c r="G10"/>
  <c r="N9" s="1"/>
  <c r="H10"/>
  <c r="I10"/>
  <c r="E40"/>
  <c r="F40"/>
  <c r="G40"/>
  <c r="H40"/>
  <c r="I40"/>
  <c r="B7"/>
  <c r="C7" s="1"/>
  <c r="G7"/>
  <c r="H7" s="1"/>
  <c r="I7" s="1"/>
  <c r="J7" s="1"/>
  <c r="D29"/>
  <c r="E29"/>
  <c r="F29"/>
  <c r="H29"/>
  <c r="I29"/>
  <c r="D40"/>
  <c r="D23" i="5"/>
  <c r="F23"/>
  <c r="G19" i="9"/>
  <c r="G30"/>
  <c r="G32"/>
  <c r="G29"/>
  <c r="G24"/>
  <c r="G31" s="1"/>
  <c r="H31"/>
  <c r="G23" i="5"/>
  <c r="E13" i="15"/>
  <c r="D11" l="1"/>
  <c r="D16" i="16" s="1"/>
  <c r="D18" s="1"/>
  <c r="J44" i="9"/>
  <c r="D14" i="16" s="1"/>
  <c r="P31" i="9"/>
  <c r="F31"/>
  <c r="J37"/>
  <c r="J38" s="1"/>
  <c r="D60" i="15"/>
  <c r="D58" s="1"/>
  <c r="Q37" i="9"/>
  <c r="Q38" s="1"/>
  <c r="M31"/>
  <c r="G37"/>
  <c r="G38" s="1"/>
  <c r="I18" i="5"/>
  <c r="L31" i="9"/>
  <c r="D55" i="15"/>
  <c r="E59"/>
  <c r="E21"/>
  <c r="E11" s="1"/>
  <c r="N11" i="9"/>
  <c r="N46" s="1"/>
  <c r="N10"/>
  <c r="Q39"/>
  <c r="Q40" s="1"/>
  <c r="Q43"/>
  <c r="J39"/>
  <c r="J40" s="1"/>
  <c r="J12"/>
  <c r="J19" s="1"/>
  <c r="Q14"/>
  <c r="I10" i="5"/>
  <c r="I23" s="1"/>
  <c r="E17" i="16" s="1"/>
  <c r="J9" i="9"/>
  <c r="J10" s="1"/>
  <c r="N37"/>
  <c r="N38" s="1"/>
  <c r="D20" i="16" l="1"/>
  <c r="D54" i="15"/>
  <c r="D53" s="1"/>
  <c r="D15" i="16" s="1"/>
  <c r="E66" i="15"/>
  <c r="E61"/>
  <c r="Q18" i="9"/>
  <c r="E60" i="15" s="1"/>
  <c r="E58" s="1"/>
  <c r="E16" i="16"/>
  <c r="E18" s="1"/>
  <c r="Q11" i="9"/>
  <c r="J24"/>
  <c r="E56" i="15"/>
  <c r="E55" s="1"/>
  <c r="J30" i="9"/>
  <c r="J32"/>
  <c r="J29"/>
  <c r="Q12" l="1"/>
  <c r="Q30" s="1"/>
  <c r="E54" i="15"/>
  <c r="E62"/>
  <c r="N12" i="9"/>
  <c r="N19" s="1"/>
  <c r="D22" i="16"/>
  <c r="D21"/>
  <c r="D19"/>
  <c r="E13"/>
  <c r="Q9" i="9"/>
  <c r="Q10" s="1"/>
  <c r="N48"/>
  <c r="Q48" s="1"/>
  <c r="N44"/>
  <c r="Q46"/>
  <c r="Q44" s="1"/>
  <c r="E14" i="16" s="1"/>
  <c r="E20" s="1"/>
  <c r="J31" i="9"/>
  <c r="Q24" l="1"/>
  <c r="Q31" s="1"/>
  <c r="Q29"/>
  <c r="Q32"/>
  <c r="Q19"/>
  <c r="N24"/>
  <c r="N30"/>
  <c r="N32"/>
  <c r="N29"/>
  <c r="E53" i="15"/>
  <c r="E15" i="16" s="1"/>
  <c r="E19" s="1"/>
  <c r="N31" i="9" l="1"/>
  <c r="E22" i="16"/>
  <c r="E21"/>
</calcChain>
</file>

<file path=xl/sharedStrings.xml><?xml version="1.0" encoding="utf-8"?>
<sst xmlns="http://schemas.openxmlformats.org/spreadsheetml/2006/main" count="495" uniqueCount="289">
  <si>
    <t>СПРАВКА №1</t>
  </si>
  <si>
    <t xml:space="preserve">ТЕХНИЧЕСКИ ПОКАЗАТЕЛИ В ПРОИЗВОДСТВОТО </t>
  </si>
  <si>
    <t>№</t>
  </si>
  <si>
    <t xml:space="preserve">ТЕХНИЧЕСКИ  ПОКАЗАТЕЛИ  </t>
  </si>
  <si>
    <t>МЯРКА</t>
  </si>
  <si>
    <t>Блок 1</t>
  </si>
  <si>
    <t>Блок 2</t>
  </si>
  <si>
    <t>Блок 3</t>
  </si>
  <si>
    <t>Блок 4</t>
  </si>
  <si>
    <t>Блок 5</t>
  </si>
  <si>
    <t>Сума</t>
  </si>
  <si>
    <t>МВтч</t>
  </si>
  <si>
    <t>Електроенергия за собствени нужди</t>
  </si>
  <si>
    <t>%</t>
  </si>
  <si>
    <t>туг</t>
  </si>
  <si>
    <t xml:space="preserve">                      - основно гориво</t>
  </si>
  <si>
    <t>5.1</t>
  </si>
  <si>
    <t>т</t>
  </si>
  <si>
    <t>5.2</t>
  </si>
  <si>
    <t>5.3</t>
  </si>
  <si>
    <t>мазут</t>
  </si>
  <si>
    <t>ккал/кг</t>
  </si>
  <si>
    <t>6.1</t>
  </si>
  <si>
    <t>6.2</t>
  </si>
  <si>
    <t>6.4</t>
  </si>
  <si>
    <t>лв./туг</t>
  </si>
  <si>
    <t>7.1</t>
  </si>
  <si>
    <t>лв./т</t>
  </si>
  <si>
    <t>7.2</t>
  </si>
  <si>
    <t>7.3</t>
  </si>
  <si>
    <t>гуг/кВтч</t>
  </si>
  <si>
    <t>лв./кВтч</t>
  </si>
  <si>
    <t>ккал/кВтч</t>
  </si>
  <si>
    <t>бр.</t>
  </si>
  <si>
    <t>12.1</t>
  </si>
  <si>
    <t xml:space="preserve">                              - по диспечерско разпореждане</t>
  </si>
  <si>
    <t>12.2</t>
  </si>
  <si>
    <t xml:space="preserve">                              - без диспечерско разпореждане</t>
  </si>
  <si>
    <t>МВт</t>
  </si>
  <si>
    <t>ч</t>
  </si>
  <si>
    <t>СПРАВКА №2</t>
  </si>
  <si>
    <t>НА РАЗХОДИТЕ ЗА ПРОИЗВОДСТВО НА ЕЛЕКТРОЕНЕРГИЯ</t>
  </si>
  <si>
    <t>I</t>
  </si>
  <si>
    <t>УСЛОВНО-ПОСТОЯННИ   РАЗХОДИ</t>
  </si>
  <si>
    <t>хил. лв.</t>
  </si>
  <si>
    <t>1</t>
  </si>
  <si>
    <t>Разходи за заплати (възнаграждения)</t>
  </si>
  <si>
    <t>2</t>
  </si>
  <si>
    <t>Начисления, свързани с т.1, по действащото законодателство</t>
  </si>
  <si>
    <t>2.1</t>
  </si>
  <si>
    <t>осигурителни вноски</t>
  </si>
  <si>
    <t>2.2</t>
  </si>
  <si>
    <t>социални разходи</t>
  </si>
  <si>
    <t>4</t>
  </si>
  <si>
    <t>5</t>
  </si>
  <si>
    <t>Разходи, пряко свързани с дейноста по лицензията</t>
  </si>
  <si>
    <t>5.1.</t>
  </si>
  <si>
    <t>Горива за автотранспорт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</si>
  <si>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</si>
  <si>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</si>
  <si>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</si>
  <si>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</si>
  <si>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</si>
  <si>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</si>
  <si>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</si>
  <si>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</si>
  <si>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</si>
  <si>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Местни 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</si>
  <si>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</si>
  <si>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</si>
  <si>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</si>
  <si>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</si>
  <si>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</si>
  <si>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</si>
  <si>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</si>
  <si>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</si>
  <si>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</si>
  <si>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</si>
  <si>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</si>
  <si>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</si>
  <si>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</si>
  <si>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</si>
  <si>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</si>
  <si>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Услуга водоподаване</t>
  </si>
  <si>
    <t>5.15.</t>
  </si>
  <si>
    <t>Вода, отопление и осветление</t>
  </si>
  <si>
    <t>5.16.</t>
  </si>
  <si>
    <t>Извозване на отработено ядрено гориво</t>
  </si>
  <si>
    <t>5.17.</t>
  </si>
  <si>
    <t>Безплатна предпазна храна съгласно нормативен акт</t>
  </si>
  <si>
    <t>5.18.</t>
  </si>
  <si>
    <t>Охрана на труда</t>
  </si>
  <si>
    <t>5.19.</t>
  </si>
  <si>
    <t>Служебни карти</t>
  </si>
  <si>
    <t>5.20.</t>
  </si>
  <si>
    <t>Командировки</t>
  </si>
  <si>
    <t>5.21.</t>
  </si>
  <si>
    <t>5.22.</t>
  </si>
  <si>
    <t>5.23.</t>
  </si>
  <si>
    <t>5.24.</t>
  </si>
  <si>
    <t>ІІ</t>
  </si>
  <si>
    <t>ПРОМЕНЛИВИ РАЗХОДИ</t>
  </si>
  <si>
    <t xml:space="preserve">            -основно гориво</t>
  </si>
  <si>
    <t xml:space="preserve">             -гориво за разпалване</t>
  </si>
  <si>
    <t xml:space="preserve">Консумативи </t>
  </si>
  <si>
    <t>Други променливи разходи</t>
  </si>
  <si>
    <t>Такса услуга водоползване</t>
  </si>
  <si>
    <t>Електрическа енергия-купена</t>
  </si>
  <si>
    <t>Вноски за фонд "Безопастност и съхраняване на радиоактивни отпадъци" и за фонд "Извеждане на ядрени съоръжения от експлоатация"</t>
  </si>
  <si>
    <t>СПРАВКА №3</t>
  </si>
  <si>
    <t>ПОЗИЦИЯ</t>
  </si>
  <si>
    <t>1.1</t>
  </si>
  <si>
    <t>Земи (терени)</t>
  </si>
  <si>
    <t>1.2</t>
  </si>
  <si>
    <t>Сгради и конструкции</t>
  </si>
  <si>
    <t>1.3</t>
  </si>
  <si>
    <t>Машини и оборудване</t>
  </si>
  <si>
    <t>1.4</t>
  </si>
  <si>
    <t>Съоръжения</t>
  </si>
  <si>
    <t>1.5</t>
  </si>
  <si>
    <t>Транспортни средства</t>
  </si>
  <si>
    <t>1.6</t>
  </si>
  <si>
    <t>Други ДМА, участващи в регулираната дейност</t>
  </si>
  <si>
    <t>ОК- оборотен капитал</t>
  </si>
  <si>
    <t>СПРАВКА №4</t>
  </si>
  <si>
    <t xml:space="preserve">                               КАПИТАЛОВА СТРУКТУРА  И ДАНЪЧНИ ЗАДЪЛЖЕНИЯ</t>
  </si>
  <si>
    <t>Мярка</t>
  </si>
  <si>
    <t>Собствен капитал</t>
  </si>
  <si>
    <t>Дял на собствения капитал</t>
  </si>
  <si>
    <t>Норма на възвръщаемост на собствения капитал</t>
  </si>
  <si>
    <t>Привлечен капитал в т.ч.</t>
  </si>
  <si>
    <t>договори за финансов лизинг</t>
  </si>
  <si>
    <t>кредит</t>
  </si>
  <si>
    <t>Дял на привлечения капитал</t>
  </si>
  <si>
    <t>Средно претеглена норма на възвръщаемост на привлечения капитал</t>
  </si>
  <si>
    <t>НОРМА НА ВЪЗВРЪЩАЕМОСТ</t>
  </si>
  <si>
    <t>СПРАВКА №5</t>
  </si>
  <si>
    <t>ТЕХНИКО - ИКОНОМИЧЕСКИ ПОКАЗАТЕЛИ В ПРОИЗВОДСТВОТО НА ЕЛЕКТРОЕНЕРГИЯ</t>
  </si>
  <si>
    <t>хил.лв.</t>
  </si>
  <si>
    <t>УСЛОВНО-ПОСТОЯННИ РАЗХОДИ</t>
  </si>
  <si>
    <t>ВЪЗВРЪЩАЕМОСТ</t>
  </si>
  <si>
    <t>НЕОБХОДИМИ ПРИХОДИ ЗА РАЗПОЛАГАЕМОСТ</t>
  </si>
  <si>
    <t>ЦЕНА ЗА МОЩНОСТ</t>
  </si>
  <si>
    <t>ЦЕНА ЗА ЕНЕРГИЯ</t>
  </si>
  <si>
    <t>ПЪЛНА ЦЕНА</t>
  </si>
  <si>
    <t>НЕОБХОДИМИ ГОДИШНИ ПРИХОДИ</t>
  </si>
  <si>
    <t xml:space="preserve"> лв./МВтч</t>
  </si>
  <si>
    <t>НА АКТИВИТЕ ЗА ПРОИЗВОДСТВО НА ЕЛЕКТРОЕНЕРГИЯ</t>
  </si>
  <si>
    <t>Корпоративен данък върху печалбата по ЗКПО</t>
  </si>
  <si>
    <t xml:space="preserve"> Нематериални дълготрайни активи, участващи в лицензионната дейност.</t>
  </si>
  <si>
    <t>Регулаторна база на активите (РБА)</t>
  </si>
  <si>
    <t>5.25.</t>
  </si>
  <si>
    <t>5.26.</t>
  </si>
  <si>
    <t>5.27.</t>
  </si>
  <si>
    <t>5.28.</t>
  </si>
  <si>
    <t>5.29.</t>
  </si>
  <si>
    <t>5.30.</t>
  </si>
  <si>
    <t>Разходи за ремонт</t>
  </si>
  <si>
    <t>А-Балансова стойност на дълготрайните  активи, които се използват в лицензионната дейност и имат полезен живот.</t>
  </si>
  <si>
    <t>Дълготрайни активи, свързани с нерегулираната дейност, в т.ч.</t>
  </si>
  <si>
    <t>Дълготрайни материални активи</t>
  </si>
  <si>
    <t>Дълготрайни нематериалини активи</t>
  </si>
  <si>
    <t>2.</t>
  </si>
  <si>
    <t>3.</t>
  </si>
  <si>
    <t>4.</t>
  </si>
  <si>
    <t>5.</t>
  </si>
  <si>
    <t>Разходи, свързани с нерегулираната дейност</t>
  </si>
  <si>
    <t>НАИМЕНОВАНИЕ НА РАЗХОДИТЕ</t>
  </si>
  <si>
    <t>Безвъзмездно финансирани активи</t>
  </si>
  <si>
    <r>
      <t>НЕТНА ЕЛЕКТРИЧЕСКА ЕНЕРГИЯ</t>
    </r>
    <r>
      <rPr>
        <b/>
        <sz val="9"/>
        <rFont val="Arial"/>
        <family val="2"/>
      </rPr>
      <t xml:space="preserve"> Ен</t>
    </r>
  </si>
  <si>
    <t>Въглища - местни</t>
  </si>
  <si>
    <t>Въглища - вносни</t>
  </si>
  <si>
    <t>Мазут</t>
  </si>
  <si>
    <t xml:space="preserve">СПРАВКА № 6 </t>
  </si>
  <si>
    <t>Блок 6</t>
  </si>
  <si>
    <t>Произведена електроенергия - бруто Ебр</t>
  </si>
  <si>
    <t>Електроенергия за собствени нужди Есн</t>
  </si>
  <si>
    <t>Нетна електрическа енергия Ен</t>
  </si>
  <si>
    <t>Гориво за производство В, в т.ч.:</t>
  </si>
  <si>
    <t>въглища - вносни</t>
  </si>
  <si>
    <t>въглища - местни</t>
  </si>
  <si>
    <t>природен газ</t>
  </si>
  <si>
    <t>хнм3</t>
  </si>
  <si>
    <t>Калоричност на горивото q</t>
  </si>
  <si>
    <t>ккал/хнм3</t>
  </si>
  <si>
    <t>Цена на тон условно гориво  Цг</t>
  </si>
  <si>
    <t>Брутен специфичен разход на условно гориво Руг, бр</t>
  </si>
  <si>
    <t>Нетен специфичен разход на условно гориво Руг, н</t>
  </si>
  <si>
    <t>Разход за гориво Рг</t>
  </si>
  <si>
    <t>Специфичен разход на топлина qт</t>
  </si>
  <si>
    <t>Брой цикли на спиране с последващо пускане на блок Цсп, в т.ч.:</t>
  </si>
  <si>
    <t>Максимална работна мощност Мраб</t>
  </si>
  <si>
    <t>Мощност в съгласуван престой Мсп</t>
  </si>
  <si>
    <t>Предоставена почасова мощност Мпр</t>
  </si>
  <si>
    <t>Средна мощност на блока Мср</t>
  </si>
  <si>
    <t>Коефициент на използваемост по мощност Kм</t>
  </si>
  <si>
    <t>Часове в работа Рраб</t>
  </si>
  <si>
    <t>Часове в разполагаемост Рразп</t>
  </si>
  <si>
    <t>Коефициент на използваемост по време Кт</t>
  </si>
  <si>
    <t xml:space="preserve">                      - гориво за пускови операции и стабилизация</t>
  </si>
  <si>
    <r>
      <t xml:space="preserve">Разполагаемост на предоставената мощност </t>
    </r>
    <r>
      <rPr>
        <b/>
        <sz val="9"/>
        <rFont val="Arial"/>
        <family val="2"/>
      </rPr>
      <t>Рпр.м</t>
    </r>
  </si>
  <si>
    <r>
      <t xml:space="preserve">Разполагаемост на предоставената мощност </t>
    </r>
    <r>
      <rPr>
        <b/>
        <sz val="9"/>
        <rFont val="Arial"/>
        <family val="2"/>
      </rPr>
      <t xml:space="preserve">Рпр.м </t>
    </r>
    <r>
      <rPr>
        <sz val="9"/>
        <rFont val="Arial"/>
        <family val="2"/>
      </rPr>
      <t>І шест</t>
    </r>
  </si>
  <si>
    <r>
      <t xml:space="preserve">Разполагаемост на предоставената мощност </t>
    </r>
    <r>
      <rPr>
        <b/>
        <sz val="9"/>
        <rFont val="Arial"/>
        <family val="2"/>
      </rPr>
      <t>Рпр.м</t>
    </r>
    <r>
      <rPr>
        <sz val="9"/>
        <rFont val="Arial"/>
        <family val="2"/>
      </rPr>
      <t xml:space="preserve"> II шест</t>
    </r>
  </si>
  <si>
    <r>
      <t xml:space="preserve">Нетна електрическа енергия </t>
    </r>
    <r>
      <rPr>
        <b/>
        <sz val="9"/>
        <rFont val="Arial"/>
        <family val="2"/>
      </rPr>
      <t xml:space="preserve">Ен </t>
    </r>
    <r>
      <rPr>
        <sz val="9"/>
        <rFont val="Arial"/>
        <family val="2"/>
      </rPr>
      <t>І шест</t>
    </r>
  </si>
  <si>
    <r>
      <t xml:space="preserve">Нетна електрическа енергия </t>
    </r>
    <r>
      <rPr>
        <b/>
        <sz val="9"/>
        <rFont val="Arial"/>
        <family val="2"/>
      </rPr>
      <t xml:space="preserve">Ен </t>
    </r>
    <r>
      <rPr>
        <sz val="9"/>
        <rFont val="Arial"/>
        <family val="2"/>
      </rPr>
      <t>II шест</t>
    </r>
  </si>
  <si>
    <t>6.3</t>
  </si>
  <si>
    <t>7.4</t>
  </si>
  <si>
    <t xml:space="preserve">Разходи за амортизации </t>
  </si>
  <si>
    <t>ТЕХНИКО-ИКОНОМИЧЕСКИ ПОКАЗАТЕЛИ</t>
  </si>
  <si>
    <t>количество (тона)</t>
  </si>
  <si>
    <t>транспортни и складови разходи  лв./тон</t>
  </si>
  <si>
    <t>Изп. директор:</t>
  </si>
  <si>
    <t>калоричност (ккал/кг)</t>
  </si>
  <si>
    <t>стойност (хил.лв.)</t>
  </si>
  <si>
    <t>Всичко въглища и средно претеглени стойности</t>
  </si>
  <si>
    <t>Природен газ (хнм3)</t>
  </si>
  <si>
    <t>Доставчици и договори (анекси)</t>
  </si>
  <si>
    <t>калоричност      (ккал/кг)</t>
  </si>
  <si>
    <t>Общо:</t>
  </si>
  <si>
    <t>хил.м.т.</t>
  </si>
  <si>
    <t>Юли</t>
  </si>
  <si>
    <t>Август</t>
  </si>
  <si>
    <t>Септември</t>
  </si>
  <si>
    <t>Октомври</t>
  </si>
  <si>
    <t>Ноември</t>
  </si>
  <si>
    <t>Декември</t>
  </si>
  <si>
    <t>Общо за месеца</t>
  </si>
  <si>
    <t>Общо за периода</t>
  </si>
  <si>
    <t>Януари</t>
  </si>
  <si>
    <t>Февруари</t>
  </si>
  <si>
    <t>Март</t>
  </si>
  <si>
    <t>Април</t>
  </si>
  <si>
    <t>Май</t>
  </si>
  <si>
    <t>Юни</t>
  </si>
  <si>
    <r>
      <t xml:space="preserve">РАЗПОЛАГАЕМОСТ НА ПРЕДОСТАВЕНАТА МОЩНОСТ </t>
    </r>
    <r>
      <rPr>
        <b/>
        <sz val="9"/>
        <rFont val="Arial"/>
        <family val="2"/>
      </rPr>
      <t xml:space="preserve">Рпр.м </t>
    </r>
  </si>
  <si>
    <t>проектно-проучвателни работи и външни услуги</t>
  </si>
  <si>
    <t>4.1</t>
  </si>
  <si>
    <t>4.2</t>
  </si>
  <si>
    <t>4.3</t>
  </si>
  <si>
    <t>разходи за вложени машини, рез части и материали</t>
  </si>
  <si>
    <t>строително-монтажни и ремонтни работи от външни услуги</t>
  </si>
  <si>
    <r>
      <t xml:space="preserve">Гориво за производство, </t>
    </r>
    <r>
      <rPr>
        <sz val="9"/>
        <rFont val="Arial"/>
        <family val="2"/>
      </rPr>
      <t>в т.ч.:</t>
    </r>
  </si>
  <si>
    <t>1.7</t>
  </si>
  <si>
    <r>
      <t>Забележка:</t>
    </r>
    <r>
      <rPr>
        <sz val="9"/>
        <rFont val="Arial"/>
        <family val="2"/>
        <charset val="204"/>
      </rPr>
      <t xml:space="preserve"> За доказване разходите през  отчетен период се прилагат фактури по направени плащания.</t>
    </r>
  </si>
  <si>
    <t>Справка № 1А</t>
  </si>
  <si>
    <t>Доставчици по видове горива  и No/дата договор/анекс</t>
  </si>
  <si>
    <t>І.</t>
  </si>
  <si>
    <t>1.</t>
  </si>
  <si>
    <t xml:space="preserve">ІІ. </t>
  </si>
  <si>
    <t xml:space="preserve">4. </t>
  </si>
  <si>
    <t>ІІІ.</t>
  </si>
  <si>
    <t>ІV.</t>
  </si>
  <si>
    <t>V.</t>
  </si>
  <si>
    <t>6.</t>
  </si>
  <si>
    <t>7.</t>
  </si>
  <si>
    <t>8.</t>
  </si>
  <si>
    <t>9.</t>
  </si>
  <si>
    <t xml:space="preserve"> Цена  лв./тон</t>
  </si>
  <si>
    <t xml:space="preserve"> Цена  лв./туг</t>
  </si>
  <si>
    <t>Цена лв./тон</t>
  </si>
  <si>
    <t>Сключени договори (анекси) за ........... година</t>
  </si>
  <si>
    <t>Графици за доставки на основно гориво по доставчици и сключени договори (анекси) за ........година</t>
  </si>
  <si>
    <t>Доставчици по договори</t>
  </si>
  <si>
    <t>Справка № 1В</t>
  </si>
  <si>
    <t>Балансова стойност към края на базисната година - хил. лв.</t>
  </si>
  <si>
    <t>3</t>
  </si>
  <si>
    <t>7</t>
  </si>
  <si>
    <t>9</t>
  </si>
  <si>
    <t>Балансова стойност към края на базисната година</t>
  </si>
  <si>
    <t>Отчет базисна година</t>
  </si>
  <si>
    <t>Забележка: Нормата на възвръщаемост на собствения капитал е примерна стойност, с която се извършват изчисленията.                                                                                                            В случай на промяна в ЗКПО се променя и процента на корпоративния данък върху печалбата.</t>
  </si>
  <si>
    <t>Отчет    базисна година</t>
  </si>
  <si>
    <t xml:space="preserve"> Отчет 2017 г.     </t>
  </si>
  <si>
    <t>Разходи за CO2</t>
  </si>
  <si>
    <t>Разходи за СОИ</t>
  </si>
  <si>
    <t xml:space="preserve"> Прогноза 2021-2022 г.     </t>
  </si>
  <si>
    <t>НА "Топлофикация Русе" АД, кондензационен блок №4</t>
  </si>
  <si>
    <t>Прогноза 01.07.2021г. - 30.06.2022г.</t>
  </si>
  <si>
    <t>Наличност на склад към 01.07.2021 г.</t>
  </si>
  <si>
    <t>Прогноза  до 30.06.2022 г.</t>
  </si>
  <si>
    <t>Наличност на склад към  …………...  г.</t>
  </si>
  <si>
    <t>Доставени количества по договори до …………….. г.</t>
  </si>
  <si>
    <t>Изразходвани количества до ……………….. г.</t>
  </si>
  <si>
    <t xml:space="preserve">Горива на   Топлофикация Русе АД   за Бл. 4  за  2022 година </t>
  </si>
  <si>
    <t xml:space="preserve">Ръководител ФИД: </t>
  </si>
  <si>
    <t>/ П.Петрова /</t>
  </si>
  <si>
    <t xml:space="preserve"> /С.Желев/</t>
  </si>
  <si>
    <t>Ръководител отдел БПР:</t>
  </si>
  <si>
    <t>/ Т.Генджев /</t>
  </si>
</sst>
</file>

<file path=xl/styles.xml><?xml version="1.0" encoding="utf-8"?>
<styleSheet xmlns="http://schemas.openxmlformats.org/spreadsheetml/2006/main">
  <numFmts count="8">
    <numFmt numFmtId="164" formatCode="_-* #,##0.00\ &quot;лв.&quot;_-;\-* #,##0.00\ &quot;лв.&quot;_-;_-* &quot;-&quot;??\ &quot;лв.&quot;_-;_-@_-"/>
    <numFmt numFmtId="165" formatCode="0.0"/>
    <numFmt numFmtId="166" formatCode="0.0000"/>
    <numFmt numFmtId="167" formatCode="&quot;ОТЧЕТ  -  &quot;yyyy\ &quot;г.&quot;"/>
    <numFmt numFmtId="168" formatCode="0.0%"/>
    <numFmt numFmtId="169" formatCode="0.000"/>
    <numFmt numFmtId="170" formatCode="#,##0.0"/>
    <numFmt numFmtId="171" formatCode="_-[$$-409]* #,##0.00_ ;_-[$$-409]* \-#,##0.00\ ;_-[$$-409]* &quot;-&quot;??_ ;_-@_ "/>
  </numFmts>
  <fonts count="29">
    <font>
      <sz val="10"/>
      <name val="Arial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</font>
    <font>
      <sz val="10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7" fillId="0" borderId="0" applyFont="0" applyFill="0" applyBorder="0" applyAlignment="0" applyProtection="0"/>
  </cellStyleXfs>
  <cellXfs count="319">
    <xf numFmtId="0" fontId="0" fillId="0" borderId="0" xfId="0"/>
    <xf numFmtId="49" fontId="1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2" borderId="0" xfId="0" applyFont="1" applyFill="1"/>
    <xf numFmtId="0" fontId="7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/>
    <xf numFmtId="0" fontId="7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3" xfId="0" applyFont="1" applyBorder="1" applyAlignment="1">
      <alignment horizontal="center"/>
    </xf>
    <xf numFmtId="3" fontId="1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/>
    </xf>
    <xf numFmtId="10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10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10" fontId="12" fillId="3" borderId="6" xfId="0" applyNumberFormat="1" applyFont="1" applyFill="1" applyBorder="1" applyAlignment="1" applyProtection="1">
      <alignment horizontal="center" vertical="center" wrapText="1"/>
      <protection locked="0"/>
    </xf>
    <xf numFmtId="168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10" fontId="2" fillId="3" borderId="8" xfId="0" applyNumberFormat="1" applyFont="1" applyFill="1" applyBorder="1" applyAlignment="1">
      <alignment horizontal="center"/>
    </xf>
    <xf numFmtId="0" fontId="1" fillId="0" borderId="5" xfId="0" applyFont="1" applyFill="1" applyBorder="1" applyAlignment="1" applyProtection="1">
      <alignment vertical="center"/>
      <protection locked="0"/>
    </xf>
    <xf numFmtId="3" fontId="2" fillId="3" borderId="8" xfId="0" applyNumberFormat="1" applyFont="1" applyFill="1" applyBorder="1" applyAlignment="1"/>
    <xf numFmtId="0" fontId="2" fillId="3" borderId="6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/>
    </xf>
    <xf numFmtId="0" fontId="1" fillId="0" borderId="0" xfId="0" applyFont="1" applyBorder="1"/>
    <xf numFmtId="0" fontId="13" fillId="2" borderId="5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/>
    </xf>
    <xf numFmtId="0" fontId="14" fillId="4" borderId="5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5" xfId="0" applyFont="1" applyFill="1" applyBorder="1" applyProtection="1"/>
    <xf numFmtId="0" fontId="6" fillId="0" borderId="5" xfId="0" applyFont="1" applyFill="1" applyBorder="1" applyAlignment="1" applyProtection="1">
      <alignment horizontal="center"/>
      <protection locked="0"/>
    </xf>
    <xf numFmtId="1" fontId="6" fillId="3" borderId="5" xfId="0" applyNumberFormat="1" applyFont="1" applyFill="1" applyBorder="1" applyAlignment="1" applyProtection="1">
      <alignment horizontal="center"/>
    </xf>
    <xf numFmtId="16" fontId="7" fillId="2" borderId="1" xfId="0" quotePrefix="1" applyNumberFormat="1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7" fillId="2" borderId="1" xfId="0" quotePrefix="1" applyFont="1" applyFill="1" applyBorder="1" applyAlignment="1" applyProtection="1">
      <alignment horizontal="center"/>
    </xf>
    <xf numFmtId="10" fontId="6" fillId="3" borderId="5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0" fontId="6" fillId="0" borderId="5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0" fillId="0" borderId="5" xfId="0" applyBorder="1"/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14" fillId="0" borderId="0" xfId="0" applyFont="1" applyFill="1" applyAlignment="1" applyProtection="1">
      <alignment horizontal="center"/>
    </xf>
    <xf numFmtId="3" fontId="7" fillId="0" borderId="5" xfId="0" applyNumberFormat="1" applyFont="1" applyFill="1" applyBorder="1" applyAlignment="1" applyProtection="1">
      <alignment horizontal="center"/>
      <protection locked="0"/>
    </xf>
    <xf numFmtId="3" fontId="7" fillId="3" borderId="6" xfId="0" applyNumberFormat="1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/>
    </xf>
    <xf numFmtId="10" fontId="6" fillId="3" borderId="6" xfId="0" applyNumberFormat="1" applyFont="1" applyFill="1" applyBorder="1" applyAlignment="1" applyProtection="1">
      <alignment horizontal="center"/>
    </xf>
    <xf numFmtId="10" fontId="13" fillId="0" borderId="0" xfId="0" applyNumberFormat="1" applyFont="1" applyFill="1" applyBorder="1" applyAlignment="1" applyProtection="1">
      <alignment horizontal="center"/>
    </xf>
    <xf numFmtId="0" fontId="7" fillId="0" borderId="5" xfId="0" applyFont="1" applyFill="1" applyBorder="1" applyAlignment="1" applyProtection="1">
      <alignment horizontal="center"/>
      <protection locked="0"/>
    </xf>
    <xf numFmtId="3" fontId="6" fillId="3" borderId="6" xfId="0" applyNumberFormat="1" applyFont="1" applyFill="1" applyBorder="1" applyAlignment="1" applyProtection="1">
      <alignment horizontal="center"/>
    </xf>
    <xf numFmtId="1" fontId="20" fillId="0" borderId="0" xfId="0" applyNumberFormat="1" applyFont="1" applyFill="1" applyBorder="1" applyAlignment="1" applyProtection="1">
      <alignment horizontal="center"/>
    </xf>
    <xf numFmtId="1" fontId="7" fillId="0" borderId="5" xfId="0" applyNumberFormat="1" applyFont="1" applyFill="1" applyBorder="1" applyAlignment="1" applyProtection="1">
      <alignment horizontal="center"/>
      <protection locked="0"/>
    </xf>
    <xf numFmtId="1" fontId="7" fillId="3" borderId="6" xfId="0" applyNumberFormat="1" applyFont="1" applyFill="1" applyBorder="1" applyAlignment="1" applyProtection="1">
      <alignment horizontal="center"/>
    </xf>
    <xf numFmtId="3" fontId="20" fillId="0" borderId="0" xfId="0" applyNumberFormat="1" applyFont="1" applyFill="1" applyBorder="1" applyAlignment="1" applyProtection="1">
      <alignment horizontal="center"/>
    </xf>
    <xf numFmtId="165" fontId="20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center"/>
      <protection locked="0"/>
    </xf>
    <xf numFmtId="2" fontId="6" fillId="0" borderId="0" xfId="0" applyNumberFormat="1" applyFont="1" applyFill="1" applyBorder="1" applyAlignment="1" applyProtection="1">
      <alignment horizontal="center"/>
    </xf>
    <xf numFmtId="2" fontId="7" fillId="0" borderId="5" xfId="0" applyNumberFormat="1" applyFont="1" applyFill="1" applyBorder="1" applyAlignment="1" applyProtection="1">
      <alignment horizontal="center"/>
      <protection locked="0"/>
    </xf>
    <xf numFmtId="2" fontId="13" fillId="0" borderId="0" xfId="0" applyNumberFormat="1" applyFont="1" applyFill="1" applyBorder="1" applyAlignment="1" applyProtection="1">
      <alignment horizontal="center"/>
    </xf>
    <xf numFmtId="2" fontId="16" fillId="0" borderId="0" xfId="0" applyNumberFormat="1" applyFont="1" applyFill="1" applyBorder="1" applyAlignment="1" applyProtection="1">
      <alignment horizontal="center"/>
      <protection locked="0"/>
    </xf>
    <xf numFmtId="170" fontId="6" fillId="3" borderId="6" xfId="0" applyNumberFormat="1" applyFont="1" applyFill="1" applyBorder="1" applyAlignment="1" applyProtection="1">
      <alignment horizontal="center"/>
    </xf>
    <xf numFmtId="4" fontId="6" fillId="3" borderId="6" xfId="0" applyNumberFormat="1" applyFont="1" applyFill="1" applyBorder="1" applyAlignment="1" applyProtection="1">
      <alignment horizontal="center"/>
    </xf>
    <xf numFmtId="166" fontId="6" fillId="3" borderId="6" xfId="0" applyNumberFormat="1" applyFont="1" applyFill="1" applyBorder="1" applyAlignment="1" applyProtection="1">
      <alignment horizontal="center"/>
    </xf>
    <xf numFmtId="166" fontId="13" fillId="0" borderId="0" xfId="0" applyNumberFormat="1" applyFont="1" applyFill="1" applyBorder="1" applyAlignment="1" applyProtection="1">
      <alignment horizontal="center"/>
    </xf>
    <xf numFmtId="1" fontId="13" fillId="0" borderId="0" xfId="0" applyNumberFormat="1" applyFont="1" applyFill="1" applyBorder="1" applyAlignment="1" applyProtection="1">
      <alignment horizontal="center"/>
    </xf>
    <xf numFmtId="169" fontId="7" fillId="0" borderId="5" xfId="0" applyNumberFormat="1" applyFont="1" applyFill="1" applyBorder="1" applyAlignment="1" applyProtection="1">
      <alignment horizontal="center"/>
      <protection locked="0"/>
    </xf>
    <xf numFmtId="2" fontId="7" fillId="3" borderId="6" xfId="0" applyNumberFormat="1" applyFont="1" applyFill="1" applyBorder="1" applyAlignment="1" applyProtection="1">
      <alignment horizontal="center"/>
    </xf>
    <xf numFmtId="2" fontId="20" fillId="0" borderId="0" xfId="0" applyNumberFormat="1" applyFont="1" applyFill="1" applyBorder="1" applyAlignment="1" applyProtection="1">
      <alignment horizontal="center"/>
    </xf>
    <xf numFmtId="10" fontId="20" fillId="0" borderId="0" xfId="0" applyNumberFormat="1" applyFont="1" applyFill="1" applyBorder="1" applyAlignment="1" applyProtection="1">
      <alignment horizontal="center"/>
    </xf>
    <xf numFmtId="165" fontId="7" fillId="0" borderId="5" xfId="0" applyNumberFormat="1" applyFont="1" applyFill="1" applyBorder="1" applyAlignment="1" applyProtection="1">
      <alignment horizontal="center"/>
      <protection locked="0"/>
    </xf>
    <xf numFmtId="10" fontId="7" fillId="3" borderId="6" xfId="0" applyNumberFormat="1" applyFont="1" applyFill="1" applyBorder="1" applyAlignment="1" applyProtection="1">
      <alignment horizontal="center"/>
    </xf>
    <xf numFmtId="1" fontId="21" fillId="0" borderId="5" xfId="0" applyNumberFormat="1" applyFont="1" applyFill="1" applyBorder="1" applyAlignment="1" applyProtection="1">
      <alignment horizontal="center"/>
    </xf>
    <xf numFmtId="3" fontId="7" fillId="3" borderId="8" xfId="0" applyNumberFormat="1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Protection="1"/>
    <xf numFmtId="0" fontId="2" fillId="0" borderId="0" xfId="0" applyFont="1" applyFill="1"/>
    <xf numFmtId="0" fontId="1" fillId="0" borderId="0" xfId="0" applyFont="1" applyFill="1"/>
    <xf numFmtId="0" fontId="16" fillId="0" borderId="0" xfId="0" applyFont="1" applyBorder="1" applyAlignment="1" applyProtection="1">
      <alignment horizontal="left"/>
    </xf>
    <xf numFmtId="0" fontId="6" fillId="0" borderId="0" xfId="0" applyFont="1" applyProtection="1"/>
    <xf numFmtId="0" fontId="6" fillId="2" borderId="7" xfId="0" applyFont="1" applyFill="1" applyBorder="1" applyProtection="1"/>
    <xf numFmtId="0" fontId="6" fillId="0" borderId="5" xfId="0" applyFont="1" applyFill="1" applyBorder="1" applyProtection="1"/>
    <xf numFmtId="0" fontId="6" fillId="0" borderId="5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wrapText="1"/>
    </xf>
    <xf numFmtId="3" fontId="6" fillId="3" borderId="5" xfId="0" applyNumberFormat="1" applyFont="1" applyFill="1" applyBorder="1" applyAlignment="1" applyProtection="1">
      <alignment horizontal="center" wrapText="1"/>
    </xf>
    <xf numFmtId="3" fontId="6" fillId="3" borderId="6" xfId="0" applyNumberFormat="1" applyFont="1" applyFill="1" applyBorder="1" applyAlignment="1" applyProtection="1">
      <alignment horizontal="center" wrapText="1"/>
    </xf>
    <xf numFmtId="3" fontId="6" fillId="3" borderId="5" xfId="0" applyNumberFormat="1" applyFont="1" applyFill="1" applyBorder="1" applyAlignment="1" applyProtection="1">
      <alignment horizontal="center"/>
    </xf>
    <xf numFmtId="4" fontId="18" fillId="3" borderId="5" xfId="0" applyNumberFormat="1" applyFont="1" applyFill="1" applyBorder="1" applyAlignment="1" applyProtection="1">
      <alignment horizontal="center"/>
    </xf>
    <xf numFmtId="170" fontId="6" fillId="3" borderId="5" xfId="0" applyNumberFormat="1" applyFont="1" applyFill="1" applyBorder="1" applyAlignment="1" applyProtection="1">
      <alignment horizontal="center"/>
    </xf>
    <xf numFmtId="4" fontId="6" fillId="3" borderId="5" xfId="0" applyNumberFormat="1" applyFont="1" applyFill="1" applyBorder="1" applyAlignment="1" applyProtection="1">
      <alignment horizontal="center"/>
    </xf>
    <xf numFmtId="166" fontId="6" fillId="3" borderId="5" xfId="0" applyNumberFormat="1" applyFont="1" applyFill="1" applyBorder="1" applyAlignment="1" applyProtection="1">
      <alignment horizontal="center"/>
    </xf>
    <xf numFmtId="2" fontId="7" fillId="3" borderId="5" xfId="0" applyNumberFormat="1" applyFont="1" applyFill="1" applyBorder="1" applyAlignment="1" applyProtection="1">
      <alignment horizontal="center"/>
    </xf>
    <xf numFmtId="170" fontId="7" fillId="3" borderId="5" xfId="0" applyNumberFormat="1" applyFont="1" applyFill="1" applyBorder="1" applyAlignment="1" applyProtection="1">
      <alignment horizontal="center"/>
    </xf>
    <xf numFmtId="10" fontId="7" fillId="3" borderId="5" xfId="0" applyNumberFormat="1" applyFont="1" applyFill="1" applyBorder="1" applyAlignment="1" applyProtection="1">
      <alignment horizontal="center"/>
    </xf>
    <xf numFmtId="1" fontId="7" fillId="3" borderId="5" xfId="0" applyNumberFormat="1" applyFont="1" applyFill="1" applyBorder="1" applyAlignment="1" applyProtection="1">
      <alignment horizontal="center"/>
    </xf>
    <xf numFmtId="170" fontId="7" fillId="3" borderId="6" xfId="0" applyNumberFormat="1" applyFont="1" applyFill="1" applyBorder="1" applyAlignment="1" applyProtection="1">
      <alignment horizontal="center"/>
    </xf>
    <xf numFmtId="4" fontId="18" fillId="3" borderId="6" xfId="0" applyNumberFormat="1" applyFont="1" applyFill="1" applyBorder="1" applyAlignment="1" applyProtection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/>
    <xf numFmtId="0" fontId="18" fillId="0" borderId="5" xfId="0" applyFont="1" applyBorder="1"/>
    <xf numFmtId="0" fontId="18" fillId="0" borderId="7" xfId="0" applyFont="1" applyBorder="1"/>
    <xf numFmtId="0" fontId="17" fillId="0" borderId="0" xfId="0" applyFont="1" applyAlignment="1"/>
    <xf numFmtId="0" fontId="19" fillId="0" borderId="0" xfId="0" applyFont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17" fontId="18" fillId="0" borderId="5" xfId="0" applyNumberFormat="1" applyFont="1" applyBorder="1"/>
    <xf numFmtId="17" fontId="16" fillId="0" borderId="9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7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3" fontId="13" fillId="3" borderId="5" xfId="0" applyNumberFormat="1" applyFont="1" applyFill="1" applyBorder="1" applyAlignment="1" applyProtection="1">
      <alignment horizontal="center" vertical="center"/>
      <protection hidden="1"/>
    </xf>
    <xf numFmtId="3" fontId="13" fillId="3" borderId="6" xfId="0" applyNumberFormat="1" applyFont="1" applyFill="1" applyBorder="1" applyAlignment="1" applyProtection="1">
      <alignment horizontal="center" vertical="center"/>
      <protection hidden="1"/>
    </xf>
    <xf numFmtId="3" fontId="13" fillId="0" borderId="0" xfId="0" applyNumberFormat="1" applyFont="1" applyBorder="1" applyAlignment="1" applyProtection="1">
      <alignment horizontal="right" vertical="center"/>
      <protection hidden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3" fontId="13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quotePrefix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 applyProtection="1">
      <alignment horizontal="center" vertical="center"/>
      <protection locked="0"/>
    </xf>
    <xf numFmtId="3" fontId="13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>
      <alignment horizontal="left" vertical="justify" wrapText="1"/>
    </xf>
    <xf numFmtId="14" fontId="6" fillId="0" borderId="1" xfId="0" quotePrefix="1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2" borderId="1" xfId="0" applyFont="1" applyFill="1" applyBorder="1" applyAlignment="1">
      <alignment horizontal="center"/>
    </xf>
    <xf numFmtId="0" fontId="13" fillId="2" borderId="5" xfId="0" applyFont="1" applyFill="1" applyBorder="1"/>
    <xf numFmtId="0" fontId="13" fillId="0" borderId="1" xfId="0" applyFont="1" applyBorder="1" applyAlignment="1">
      <alignment horizontal="center"/>
    </xf>
    <xf numFmtId="0" fontId="13" fillId="0" borderId="5" xfId="0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/>
    <xf numFmtId="3" fontId="6" fillId="3" borderId="5" xfId="0" applyNumberFormat="1" applyFont="1" applyFill="1" applyBorder="1" applyAlignment="1" applyProtection="1">
      <alignment horizontal="center" vertical="center"/>
    </xf>
    <xf numFmtId="3" fontId="13" fillId="0" borderId="0" xfId="0" applyNumberFormat="1" applyFont="1" applyBorder="1" applyAlignment="1" applyProtection="1">
      <alignment horizontal="right" vertical="center"/>
      <protection locked="0"/>
    </xf>
    <xf numFmtId="3" fontId="13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Font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/>
    <xf numFmtId="0" fontId="13" fillId="2" borderId="6" xfId="0" applyFont="1" applyFill="1" applyBorder="1" applyAlignment="1" applyProtection="1">
      <alignment horizontal="center"/>
    </xf>
    <xf numFmtId="0" fontId="14" fillId="4" borderId="6" xfId="0" applyFont="1" applyFill="1" applyBorder="1" applyAlignment="1" applyProtection="1">
      <alignment horizontal="center"/>
    </xf>
    <xf numFmtId="1" fontId="6" fillId="3" borderId="6" xfId="0" applyNumberFormat="1" applyFont="1" applyFill="1" applyBorder="1" applyAlignment="1" applyProtection="1">
      <alignment horizontal="center"/>
    </xf>
    <xf numFmtId="3" fontId="7" fillId="0" borderId="6" xfId="0" applyNumberFormat="1" applyFont="1" applyFill="1" applyBorder="1" applyAlignment="1" applyProtection="1">
      <alignment horizontal="center"/>
    </xf>
    <xf numFmtId="170" fontId="7" fillId="0" borderId="6" xfId="0" applyNumberFormat="1" applyFont="1" applyFill="1" applyBorder="1" applyAlignment="1" applyProtection="1">
      <alignment horizontal="center"/>
    </xf>
    <xf numFmtId="4" fontId="7" fillId="0" borderId="6" xfId="0" applyNumberFormat="1" applyFont="1" applyFill="1" applyBorder="1" applyAlignment="1" applyProtection="1">
      <alignment horizontal="center"/>
    </xf>
    <xf numFmtId="4" fontId="7" fillId="3" borderId="6" xfId="0" applyNumberFormat="1" applyFont="1" applyFill="1" applyBorder="1" applyAlignment="1" applyProtection="1">
      <alignment horizontal="center"/>
    </xf>
    <xf numFmtId="3" fontId="13" fillId="0" borderId="6" xfId="0" applyNumberFormat="1" applyFont="1" applyFill="1" applyBorder="1" applyAlignment="1" applyProtection="1">
      <alignment horizontal="center" vertical="center"/>
      <protection locked="0"/>
    </xf>
    <xf numFmtId="3" fontId="6" fillId="0" borderId="6" xfId="0" applyNumberFormat="1" applyFont="1" applyFill="1" applyBorder="1" applyAlignment="1" applyProtection="1">
      <alignment horizontal="center" vertical="center"/>
      <protection locked="0"/>
    </xf>
    <xf numFmtId="3" fontId="6" fillId="3" borderId="6" xfId="0" applyNumberFormat="1" applyFont="1" applyFill="1" applyBorder="1" applyAlignment="1" applyProtection="1">
      <alignment horizontal="center" vertical="center"/>
    </xf>
    <xf numFmtId="3" fontId="13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/>
    </xf>
    <xf numFmtId="1" fontId="1" fillId="3" borderId="6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top" wrapText="1"/>
    </xf>
    <xf numFmtId="0" fontId="2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0" applyFont="1" applyFill="1" applyBorder="1"/>
    <xf numFmtId="0" fontId="19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24" fillId="0" borderId="5" xfId="0" applyFont="1" applyBorder="1"/>
    <xf numFmtId="0" fontId="0" fillId="0" borderId="5" xfId="0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5" xfId="0" applyFont="1" applyBorder="1" applyAlignment="1">
      <alignment vertical="center" wrapText="1"/>
    </xf>
    <xf numFmtId="1" fontId="1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/>
    <xf numFmtId="1" fontId="6" fillId="0" borderId="7" xfId="0" applyNumberFormat="1" applyFont="1" applyFill="1" applyBorder="1" applyAlignment="1" applyProtection="1">
      <alignment horizontal="center"/>
    </xf>
    <xf numFmtId="1" fontId="6" fillId="0" borderId="5" xfId="0" applyNumberFormat="1" applyFont="1" applyFill="1" applyBorder="1" applyAlignment="1" applyProtection="1">
      <alignment horizontal="center"/>
      <protection locked="0"/>
    </xf>
    <xf numFmtId="169" fontId="1" fillId="0" borderId="5" xfId="0" applyNumberFormat="1" applyFont="1" applyFill="1" applyBorder="1" applyAlignment="1" applyProtection="1">
      <alignment vertical="center"/>
      <protection locked="0"/>
    </xf>
    <xf numFmtId="2" fontId="1" fillId="3" borderId="6" xfId="0" applyNumberFormat="1" applyFont="1" applyFill="1" applyBorder="1" applyAlignment="1">
      <alignment horizontal="center" vertical="center"/>
    </xf>
    <xf numFmtId="165" fontId="1" fillId="3" borderId="6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 applyProtection="1">
      <alignment horizontal="center"/>
      <protection locked="0"/>
    </xf>
    <xf numFmtId="2" fontId="6" fillId="3" borderId="6" xfId="0" applyNumberFormat="1" applyFont="1" applyFill="1" applyBorder="1" applyAlignment="1" applyProtection="1">
      <alignment horizontal="center"/>
      <protection locked="0"/>
    </xf>
    <xf numFmtId="1" fontId="6" fillId="0" borderId="5" xfId="0" applyNumberFormat="1" applyFont="1" applyFill="1" applyBorder="1" applyAlignment="1" applyProtection="1">
      <alignment horizontal="center"/>
    </xf>
    <xf numFmtId="171" fontId="1" fillId="0" borderId="0" xfId="1" applyNumberFormat="1" applyFont="1" applyBorder="1"/>
    <xf numFmtId="171" fontId="1" fillId="0" borderId="0" xfId="0" applyNumberFormat="1" applyFont="1"/>
    <xf numFmtId="0" fontId="7" fillId="0" borderId="1" xfId="0" quotePrefix="1" applyFont="1" applyFill="1" applyBorder="1" applyAlignment="1" applyProtection="1">
      <alignment horizont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18" fillId="0" borderId="5" xfId="0" applyNumberFormat="1" applyFont="1" applyBorder="1"/>
    <xf numFmtId="165" fontId="18" fillId="0" borderId="5" xfId="0" applyNumberFormat="1" applyFont="1" applyBorder="1"/>
    <xf numFmtId="1" fontId="18" fillId="0" borderId="5" xfId="0" applyNumberFormat="1" applyFont="1" applyBorder="1"/>
    <xf numFmtId="2" fontId="0" fillId="0" borderId="5" xfId="0" applyNumberFormat="1" applyBorder="1"/>
    <xf numFmtId="0" fontId="19" fillId="0" borderId="0" xfId="0" applyFont="1" applyAlignment="1">
      <alignment vertical="center"/>
    </xf>
    <xf numFmtId="0" fontId="28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5" borderId="0" xfId="0" applyFont="1" applyFill="1" applyAlignment="1" applyProtection="1">
      <alignment horizontal="right" vertical="center"/>
      <protection hidden="1"/>
    </xf>
    <xf numFmtId="0" fontId="28" fillId="5" borderId="0" xfId="0" applyFont="1" applyFill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vertical="center"/>
      <protection hidden="1"/>
    </xf>
    <xf numFmtId="0" fontId="28" fillId="0" borderId="0" xfId="0" applyFont="1" applyFill="1" applyAlignment="1" applyProtection="1">
      <alignment horizontal="right" vertical="center"/>
      <protection hidden="1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28" fillId="5" borderId="0" xfId="0" applyFont="1" applyFill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3" fillId="2" borderId="14" xfId="0" applyFont="1" applyFill="1" applyBorder="1" applyAlignment="1" applyProtection="1">
      <alignment horizontal="center"/>
    </xf>
    <xf numFmtId="0" fontId="13" fillId="2" borderId="15" xfId="0" applyFont="1" applyFill="1" applyBorder="1" applyAlignment="1" applyProtection="1">
      <alignment horizontal="center"/>
    </xf>
    <xf numFmtId="0" fontId="13" fillId="2" borderId="16" xfId="0" applyFont="1" applyFill="1" applyBorder="1" applyAlignment="1" applyProtection="1">
      <alignment horizontal="center"/>
    </xf>
    <xf numFmtId="0" fontId="13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5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E29"/>
  <sheetViews>
    <sheetView zoomScaleNormal="100" workbookViewId="0">
      <selection activeCell="B27" sqref="B27:AE29"/>
    </sheetView>
  </sheetViews>
  <sheetFormatPr defaultRowHeight="12.75" outlineLevelCol="1"/>
  <cols>
    <col min="1" max="1" width="4" style="125" customWidth="1"/>
    <col min="2" max="2" width="15.7109375" customWidth="1"/>
    <col min="3" max="3" width="11" hidden="1" customWidth="1" outlineLevel="1"/>
    <col min="4" max="4" width="11.28515625" hidden="1" customWidth="1" outlineLevel="1"/>
    <col min="5" max="6" width="8.140625" hidden="1" customWidth="1" outlineLevel="1"/>
    <col min="7" max="7" width="8.5703125" hidden="1" customWidth="1" outlineLevel="1"/>
    <col min="8" max="8" width="10.28515625" hidden="1" customWidth="1" outlineLevel="1"/>
    <col min="9" max="9" width="11.140625" hidden="1" customWidth="1" outlineLevel="1"/>
    <col min="10" max="10" width="7.5703125" hidden="1" customWidth="1" outlineLevel="1"/>
    <col min="11" max="11" width="11.28515625" hidden="1" customWidth="1" outlineLevel="1"/>
    <col min="12" max="12" width="7.42578125" hidden="1" customWidth="1" outlineLevel="1"/>
    <col min="13" max="13" width="10.85546875" hidden="1" customWidth="1" outlineLevel="1"/>
    <col min="14" max="14" width="9.85546875" hidden="1" customWidth="1" outlineLevel="1"/>
    <col min="15" max="15" width="11" hidden="1" customWidth="1" outlineLevel="1"/>
    <col min="16" max="16" width="7.28515625" hidden="1" customWidth="1" outlineLevel="1"/>
    <col min="17" max="17" width="7.140625" hidden="1" customWidth="1" outlineLevel="1"/>
    <col min="18" max="18" width="9.28515625" hidden="1" customWidth="1" outlineLevel="1"/>
    <col min="19" max="19" width="10.42578125" customWidth="1" collapsed="1"/>
    <col min="20" max="20" width="12.28515625" customWidth="1"/>
    <col min="21" max="21" width="10.140625" customWidth="1"/>
    <col min="22" max="22" width="7" customWidth="1"/>
    <col min="24" max="24" width="12" customWidth="1"/>
    <col min="25" max="25" width="11.85546875" customWidth="1"/>
    <col min="26" max="26" width="8.85546875" customWidth="1"/>
    <col min="27" max="27" width="12.42578125" customWidth="1"/>
    <col min="28" max="28" width="9.42578125" bestFit="1" customWidth="1"/>
    <col min="29" max="29" width="10.5703125" bestFit="1" customWidth="1"/>
  </cols>
  <sheetData>
    <row r="2" spans="1:29" ht="15.75">
      <c r="B2" s="126" t="s">
        <v>173</v>
      </c>
      <c r="C2" s="126"/>
      <c r="D2" s="126"/>
      <c r="E2" s="126"/>
      <c r="F2" s="126"/>
      <c r="G2" s="126"/>
    </row>
    <row r="3" spans="1:29"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V3" s="129"/>
    </row>
    <row r="4" spans="1:29" ht="15" customHeight="1">
      <c r="A4" s="269" t="s">
        <v>244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</row>
    <row r="5" spans="1:29" ht="15" customHeight="1"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227"/>
      <c r="N5" s="227"/>
      <c r="O5" s="127"/>
      <c r="P5" s="127"/>
      <c r="Q5" s="127"/>
      <c r="R5" s="127"/>
    </row>
    <row r="6" spans="1:29" ht="15" customHeight="1">
      <c r="A6" s="256" t="s">
        <v>283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49"/>
      <c r="T6" s="249"/>
      <c r="U6" s="249"/>
      <c r="V6" s="249"/>
      <c r="W6" s="249"/>
    </row>
    <row r="7" spans="1:29" ht="15" customHeight="1"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</row>
    <row r="8" spans="1:29">
      <c r="B8" s="128"/>
      <c r="C8" s="128"/>
      <c r="D8" s="128"/>
      <c r="E8" s="128"/>
      <c r="F8" s="128"/>
      <c r="G8" s="128"/>
    </row>
    <row r="9" spans="1:29" ht="26.25" customHeight="1">
      <c r="A9" s="270" t="s">
        <v>2</v>
      </c>
      <c r="B9" s="267" t="s">
        <v>245</v>
      </c>
      <c r="C9" s="266" t="s">
        <v>280</v>
      </c>
      <c r="D9" s="266"/>
      <c r="E9" s="266"/>
      <c r="F9" s="266"/>
      <c r="G9" s="266"/>
      <c r="H9" s="266" t="s">
        <v>281</v>
      </c>
      <c r="I9" s="266"/>
      <c r="J9" s="266"/>
      <c r="K9" s="266"/>
      <c r="L9" s="266"/>
      <c r="M9" s="266"/>
      <c r="N9" s="266" t="s">
        <v>282</v>
      </c>
      <c r="O9" s="266"/>
      <c r="P9" s="266"/>
      <c r="Q9" s="266"/>
      <c r="R9" s="266"/>
      <c r="S9" s="266" t="s">
        <v>278</v>
      </c>
      <c r="T9" s="266"/>
      <c r="U9" s="266"/>
      <c r="V9" s="266"/>
      <c r="W9" s="266"/>
      <c r="X9" s="266" t="s">
        <v>279</v>
      </c>
      <c r="Y9" s="266"/>
      <c r="Z9" s="266"/>
      <c r="AA9" s="266"/>
      <c r="AB9" s="266"/>
      <c r="AC9" s="266"/>
    </row>
    <row r="10" spans="1:29" ht="51" customHeight="1">
      <c r="A10" s="270"/>
      <c r="B10" s="268"/>
      <c r="C10" s="130" t="s">
        <v>209</v>
      </c>
      <c r="D10" s="130" t="s">
        <v>212</v>
      </c>
      <c r="E10" s="130" t="s">
        <v>259</v>
      </c>
      <c r="F10" s="130" t="s">
        <v>258</v>
      </c>
      <c r="G10" s="130" t="s">
        <v>213</v>
      </c>
      <c r="H10" s="130" t="s">
        <v>209</v>
      </c>
      <c r="I10" s="130" t="s">
        <v>212</v>
      </c>
      <c r="J10" s="130" t="s">
        <v>259</v>
      </c>
      <c r="K10" s="130" t="s">
        <v>210</v>
      </c>
      <c r="L10" s="130" t="s">
        <v>258</v>
      </c>
      <c r="M10" s="130" t="s">
        <v>213</v>
      </c>
      <c r="N10" s="130" t="s">
        <v>209</v>
      </c>
      <c r="O10" s="130" t="s">
        <v>212</v>
      </c>
      <c r="P10" s="130" t="s">
        <v>259</v>
      </c>
      <c r="Q10" s="130" t="s">
        <v>258</v>
      </c>
      <c r="R10" s="130" t="s">
        <v>213</v>
      </c>
      <c r="S10" s="130" t="s">
        <v>209</v>
      </c>
      <c r="T10" s="130" t="s">
        <v>212</v>
      </c>
      <c r="U10" s="130" t="s">
        <v>259</v>
      </c>
      <c r="V10" s="130" t="s">
        <v>258</v>
      </c>
      <c r="W10" s="130" t="s">
        <v>213</v>
      </c>
      <c r="X10" s="130" t="s">
        <v>209</v>
      </c>
      <c r="Y10" s="130" t="s">
        <v>212</v>
      </c>
      <c r="Z10" s="130" t="s">
        <v>259</v>
      </c>
      <c r="AA10" s="130" t="s">
        <v>210</v>
      </c>
      <c r="AB10" s="130" t="s">
        <v>258</v>
      </c>
      <c r="AC10" s="130" t="s">
        <v>213</v>
      </c>
    </row>
    <row r="11" spans="1:29">
      <c r="A11" s="231" t="s">
        <v>246</v>
      </c>
      <c r="B11" s="132" t="s">
        <v>170</v>
      </c>
      <c r="C11" s="132">
        <v>0</v>
      </c>
      <c r="D11" s="132"/>
      <c r="E11" s="132"/>
      <c r="F11" s="132"/>
      <c r="G11" s="132"/>
      <c r="H11" s="132"/>
      <c r="I11" s="132"/>
      <c r="J11" s="132"/>
      <c r="K11" s="132"/>
      <c r="L11" s="132"/>
      <c r="M11" s="255"/>
      <c r="N11" s="254"/>
      <c r="O11" s="254"/>
      <c r="P11" s="132"/>
      <c r="Q11" s="132"/>
      <c r="R11" s="132"/>
      <c r="S11" s="254">
        <v>0</v>
      </c>
      <c r="T11" s="254"/>
      <c r="U11" s="252">
        <v>0</v>
      </c>
      <c r="V11" s="132">
        <v>0</v>
      </c>
      <c r="W11" s="252">
        <v>0</v>
      </c>
      <c r="X11" s="253">
        <f>ТП!N15</f>
        <v>202995.2727688787</v>
      </c>
      <c r="Y11" s="254">
        <f>ТП!N21</f>
        <v>4300</v>
      </c>
      <c r="Z11" s="252">
        <f>77*1.65973</f>
        <v>127.79920999999999</v>
      </c>
      <c r="AA11" s="132">
        <v>18</v>
      </c>
      <c r="AB11" s="252">
        <f>(Z11+AA11)/Y11*7000</f>
        <v>237.34755116279069</v>
      </c>
      <c r="AC11" s="255">
        <f>X11*(Z11+AA11)/1000</f>
        <v>29596.550403437024</v>
      </c>
    </row>
    <row r="12" spans="1:29">
      <c r="A12" s="230" t="s">
        <v>247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60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>
      <c r="A13" s="230" t="s">
        <v>162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60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>
      <c r="A14" s="230" t="s">
        <v>163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60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>
      <c r="A15" s="230" t="s">
        <v>164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60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>
      <c r="A16" s="231" t="s">
        <v>248</v>
      </c>
      <c r="B16" s="132" t="s">
        <v>171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60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31">
      <c r="A17" s="230" t="s">
        <v>247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60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31">
      <c r="A18" s="230" t="s">
        <v>162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60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31">
      <c r="A19" s="230" t="s">
        <v>163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60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31">
      <c r="A20" s="230" t="s">
        <v>249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60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31" ht="50.25" customHeight="1">
      <c r="A21" s="231" t="s">
        <v>250</v>
      </c>
      <c r="B21" s="201" t="s">
        <v>214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60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31">
      <c r="A22" s="231" t="s">
        <v>251</v>
      </c>
      <c r="B22" s="132" t="s">
        <v>172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60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31" ht="29.25" customHeight="1">
      <c r="A23" s="231" t="s">
        <v>252</v>
      </c>
      <c r="B23" s="232" t="s">
        <v>215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60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5" spans="1:31">
      <c r="B25" s="226"/>
      <c r="C25" s="226"/>
      <c r="D25" s="226"/>
      <c r="E25" s="226"/>
      <c r="F25" s="226"/>
      <c r="G25" s="226"/>
      <c r="O25" s="61"/>
      <c r="P25" s="61"/>
      <c r="Q25" s="61"/>
      <c r="R25" s="61"/>
      <c r="S25" s="226" t="s">
        <v>243</v>
      </c>
    </row>
    <row r="27" spans="1:31">
      <c r="B27" s="257" t="s">
        <v>284</v>
      </c>
      <c r="C27" s="257"/>
      <c r="D27" s="258"/>
      <c r="E27" s="258"/>
      <c r="F27" s="259" t="s">
        <v>211</v>
      </c>
      <c r="G27" s="258"/>
      <c r="H27" s="258"/>
      <c r="I27" s="258"/>
      <c r="J27" s="258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Y27" s="274" t="s">
        <v>211</v>
      </c>
      <c r="Z27" s="274"/>
      <c r="AA27" s="274"/>
      <c r="AB27" s="274"/>
      <c r="AC27" s="274"/>
      <c r="AD27" s="274"/>
      <c r="AE27" s="274"/>
    </row>
    <row r="28" spans="1:31">
      <c r="B28" s="257"/>
      <c r="C28" s="257"/>
      <c r="D28" s="258"/>
      <c r="E28" s="258"/>
      <c r="F28" s="258"/>
      <c r="G28" s="258"/>
      <c r="H28" s="258"/>
      <c r="I28" s="258"/>
      <c r="J28" s="258"/>
    </row>
    <row r="29" spans="1:31">
      <c r="B29" s="257"/>
      <c r="C29" s="260" t="s">
        <v>285</v>
      </c>
      <c r="D29" s="258"/>
      <c r="E29" s="258"/>
      <c r="F29" s="258"/>
      <c r="G29" s="271" t="s">
        <v>286</v>
      </c>
      <c r="H29" s="271"/>
      <c r="I29" s="271"/>
      <c r="J29" s="271"/>
      <c r="S29" s="272" t="s">
        <v>285</v>
      </c>
      <c r="T29" s="272"/>
      <c r="Z29" s="273" t="s">
        <v>286</v>
      </c>
      <c r="AA29" s="273"/>
      <c r="AB29" s="273"/>
      <c r="AC29" s="273"/>
    </row>
  </sheetData>
  <mergeCells count="15">
    <mergeCell ref="G29:J29"/>
    <mergeCell ref="S29:T29"/>
    <mergeCell ref="Z29:AC29"/>
    <mergeCell ref="X9:AC9"/>
    <mergeCell ref="C9:G9"/>
    <mergeCell ref="S27:V27"/>
    <mergeCell ref="Y27:AE27"/>
    <mergeCell ref="B3:S3"/>
    <mergeCell ref="M27:R27"/>
    <mergeCell ref="N9:R9"/>
    <mergeCell ref="S9:W9"/>
    <mergeCell ref="B9:B10"/>
    <mergeCell ref="H9:M9"/>
    <mergeCell ref="A4:R4"/>
    <mergeCell ref="A9:A10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scale="85" orientation="landscape" useFirstPageNumber="1" horizontalDpi="4294967293" r:id="rId1"/>
  <headerFooter alignWithMargins="0"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E39"/>
  <sheetViews>
    <sheetView workbookViewId="0">
      <selection activeCell="B21" sqref="B21"/>
    </sheetView>
  </sheetViews>
  <sheetFormatPr defaultRowHeight="12.75"/>
  <cols>
    <col min="1" max="1" width="8.140625" customWidth="1"/>
    <col min="2" max="2" width="25.28515625" customWidth="1"/>
    <col min="3" max="3" width="11.28515625" customWidth="1"/>
    <col min="4" max="4" width="11.7109375" customWidth="1"/>
    <col min="5" max="5" width="11.85546875" customWidth="1"/>
    <col min="6" max="6" width="18.140625" customWidth="1"/>
    <col min="7" max="7" width="13" customWidth="1"/>
    <col min="11" max="11" width="11" customWidth="1"/>
    <col min="12" max="12" width="8.140625" customWidth="1"/>
    <col min="14" max="14" width="8.140625" customWidth="1"/>
    <col min="16" max="16" width="7" customWidth="1"/>
    <col min="17" max="17" width="8.28515625" customWidth="1"/>
  </cols>
  <sheetData>
    <row r="1" spans="1:24">
      <c r="E1" s="275"/>
      <c r="F1" s="275"/>
      <c r="G1" s="275"/>
      <c r="H1" s="275"/>
    </row>
    <row r="2" spans="1:24">
      <c r="E2" s="129"/>
      <c r="F2" s="129"/>
      <c r="G2" s="134"/>
      <c r="H2" s="134"/>
    </row>
    <row r="3" spans="1:24">
      <c r="E3" s="129"/>
      <c r="F3" s="129"/>
      <c r="G3" s="134"/>
      <c r="H3" s="134"/>
    </row>
    <row r="4" spans="1:24" ht="15.75">
      <c r="A4" s="269" t="s">
        <v>263</v>
      </c>
      <c r="B4" s="269"/>
      <c r="C4" s="269"/>
      <c r="D4" s="269"/>
      <c r="E4" s="269"/>
      <c r="F4" s="269"/>
      <c r="G4" s="269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1:24" ht="15.75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</row>
    <row r="6" spans="1:24" ht="12.75" customHeight="1">
      <c r="A6" s="276" t="s">
        <v>260</v>
      </c>
      <c r="B6" s="276"/>
      <c r="C6" s="276"/>
      <c r="D6" s="276"/>
      <c r="E6" s="276"/>
      <c r="F6" s="276"/>
      <c r="G6" s="276"/>
      <c r="H6" s="135"/>
      <c r="I6" s="135"/>
      <c r="J6" s="135"/>
      <c r="K6" s="135"/>
    </row>
    <row r="8" spans="1:24" ht="36">
      <c r="A8" s="228" t="s">
        <v>2</v>
      </c>
      <c r="B8" s="228" t="s">
        <v>216</v>
      </c>
      <c r="C8" s="225" t="s">
        <v>209</v>
      </c>
      <c r="D8" s="225" t="s">
        <v>217</v>
      </c>
      <c r="E8" s="225" t="s">
        <v>257</v>
      </c>
      <c r="F8" s="130" t="s">
        <v>210</v>
      </c>
      <c r="G8" s="130" t="s">
        <v>258</v>
      </c>
      <c r="K8" s="276" t="s">
        <v>261</v>
      </c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</row>
    <row r="9" spans="1:24" ht="15.75">
      <c r="A9" s="230" t="s">
        <v>247</v>
      </c>
      <c r="B9" s="60"/>
      <c r="C9" s="60"/>
      <c r="D9" s="60"/>
      <c r="E9" s="60"/>
      <c r="F9" s="60"/>
      <c r="G9" s="60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4" ht="13.5" thickBot="1">
      <c r="A10" s="230" t="s">
        <v>162</v>
      </c>
      <c r="B10" s="60"/>
      <c r="C10" s="60"/>
      <c r="D10" s="60"/>
      <c r="E10" s="60"/>
      <c r="F10" s="60"/>
      <c r="G10" s="60"/>
      <c r="W10" s="125"/>
      <c r="X10" s="125" t="s">
        <v>219</v>
      </c>
    </row>
    <row r="11" spans="1:24" ht="24.75" thickTop="1">
      <c r="A11" s="230" t="s">
        <v>163</v>
      </c>
      <c r="B11" s="60"/>
      <c r="C11" s="60"/>
      <c r="D11" s="60"/>
      <c r="E11" s="60"/>
      <c r="F11" s="60"/>
      <c r="G11" s="60"/>
      <c r="K11" s="277" t="s">
        <v>262</v>
      </c>
      <c r="L11" s="140" t="s">
        <v>228</v>
      </c>
      <c r="M11" s="140" t="s">
        <v>229</v>
      </c>
      <c r="N11" s="140" t="s">
        <v>230</v>
      </c>
      <c r="O11" s="140" t="s">
        <v>231</v>
      </c>
      <c r="P11" s="140" t="s">
        <v>232</v>
      </c>
      <c r="Q11" s="140" t="s">
        <v>233</v>
      </c>
      <c r="R11" s="139" t="s">
        <v>220</v>
      </c>
      <c r="S11" s="139" t="s">
        <v>221</v>
      </c>
      <c r="T11" s="139" t="s">
        <v>222</v>
      </c>
      <c r="U11" s="139" t="s">
        <v>223</v>
      </c>
      <c r="V11" s="139" t="s">
        <v>224</v>
      </c>
      <c r="W11" s="139" t="s">
        <v>225</v>
      </c>
      <c r="X11" s="204" t="s">
        <v>227</v>
      </c>
    </row>
    <row r="12" spans="1:24" ht="22.5" customHeight="1">
      <c r="A12" s="230" t="s">
        <v>164</v>
      </c>
      <c r="B12" s="60"/>
      <c r="C12" s="60"/>
      <c r="D12" s="60"/>
      <c r="E12" s="60"/>
      <c r="F12" s="60"/>
      <c r="G12" s="60"/>
      <c r="K12" s="278"/>
      <c r="L12" s="201"/>
      <c r="M12" s="201"/>
      <c r="N12" s="201"/>
      <c r="O12" s="201"/>
      <c r="P12" s="201"/>
      <c r="Q12" s="201"/>
      <c r="R12" s="138"/>
      <c r="S12" s="138"/>
      <c r="T12" s="138"/>
      <c r="U12" s="138"/>
      <c r="V12" s="138"/>
      <c r="W12" s="138"/>
      <c r="X12" s="136"/>
    </row>
    <row r="13" spans="1:24">
      <c r="A13" s="230" t="s">
        <v>165</v>
      </c>
      <c r="B13" s="60"/>
      <c r="C13" s="60"/>
      <c r="D13" s="60"/>
      <c r="E13" s="60"/>
      <c r="F13" s="60"/>
      <c r="G13" s="60"/>
      <c r="K13" s="131"/>
      <c r="L13" s="132"/>
      <c r="M13" s="132"/>
      <c r="N13" s="132"/>
      <c r="O13" s="132"/>
      <c r="P13" s="132"/>
      <c r="Q13" s="132"/>
      <c r="R13" s="138"/>
      <c r="S13" s="138"/>
      <c r="T13" s="138"/>
      <c r="U13" s="138"/>
      <c r="V13" s="138"/>
      <c r="W13" s="138"/>
      <c r="X13" s="136"/>
    </row>
    <row r="14" spans="1:24">
      <c r="A14" s="230" t="s">
        <v>253</v>
      </c>
      <c r="B14" s="60"/>
      <c r="C14" s="60"/>
      <c r="D14" s="60"/>
      <c r="E14" s="60"/>
      <c r="F14" s="60"/>
      <c r="G14" s="60"/>
      <c r="K14" s="131"/>
      <c r="L14" s="132"/>
      <c r="M14" s="132"/>
      <c r="N14" s="132"/>
      <c r="O14" s="132"/>
      <c r="P14" s="132"/>
      <c r="Q14" s="132"/>
      <c r="R14" s="138"/>
      <c r="S14" s="138"/>
      <c r="T14" s="138"/>
      <c r="U14" s="138"/>
      <c r="V14" s="138"/>
      <c r="W14" s="138"/>
      <c r="X14" s="136"/>
    </row>
    <row r="15" spans="1:24">
      <c r="A15" s="230" t="s">
        <v>254</v>
      </c>
      <c r="B15" s="60"/>
      <c r="C15" s="60"/>
      <c r="D15" s="60"/>
      <c r="E15" s="60"/>
      <c r="F15" s="60"/>
      <c r="G15" s="60"/>
      <c r="K15" s="131"/>
      <c r="L15" s="132"/>
      <c r="M15" s="132"/>
      <c r="N15" s="132"/>
      <c r="O15" s="132"/>
      <c r="P15" s="132"/>
      <c r="Q15" s="132"/>
      <c r="R15" s="138"/>
      <c r="S15" s="138"/>
      <c r="T15" s="138"/>
      <c r="U15" s="138"/>
      <c r="V15" s="138"/>
      <c r="W15" s="138"/>
      <c r="X15" s="136"/>
    </row>
    <row r="16" spans="1:24">
      <c r="A16" s="230" t="s">
        <v>255</v>
      </c>
      <c r="B16" s="60"/>
      <c r="C16" s="60"/>
      <c r="D16" s="60"/>
      <c r="E16" s="60"/>
      <c r="F16" s="60"/>
      <c r="G16" s="60"/>
      <c r="K16" s="131"/>
      <c r="L16" s="132"/>
      <c r="M16" s="132"/>
      <c r="N16" s="132"/>
      <c r="O16" s="132"/>
      <c r="P16" s="132"/>
      <c r="Q16" s="132"/>
      <c r="R16" s="138"/>
      <c r="S16" s="138"/>
      <c r="T16" s="138"/>
      <c r="U16" s="138"/>
      <c r="V16" s="138"/>
      <c r="W16" s="138"/>
      <c r="X16" s="136"/>
    </row>
    <row r="17" spans="1:31">
      <c r="A17" s="230" t="s">
        <v>256</v>
      </c>
      <c r="B17" s="60"/>
      <c r="C17" s="60"/>
      <c r="D17" s="60"/>
      <c r="E17" s="60"/>
      <c r="F17" s="60"/>
      <c r="G17" s="60"/>
      <c r="K17" s="131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6"/>
    </row>
    <row r="18" spans="1:31" ht="24.75" thickBot="1">
      <c r="A18" s="60"/>
      <c r="B18" s="229" t="s">
        <v>218</v>
      </c>
      <c r="C18" s="60"/>
      <c r="D18" s="60"/>
      <c r="E18" s="60"/>
      <c r="F18" s="60"/>
      <c r="G18" s="60"/>
      <c r="K18" s="202" t="s">
        <v>226</v>
      </c>
      <c r="L18" s="203"/>
      <c r="M18" s="203"/>
      <c r="N18" s="203"/>
      <c r="O18" s="203"/>
      <c r="P18" s="203"/>
      <c r="Q18" s="203"/>
      <c r="R18" s="133"/>
      <c r="S18" s="133"/>
      <c r="T18" s="133"/>
      <c r="U18" s="133"/>
      <c r="V18" s="133"/>
      <c r="W18" s="133"/>
      <c r="X18" s="137"/>
    </row>
    <row r="19" spans="1:31" ht="13.5" thickTop="1"/>
    <row r="21" spans="1:31">
      <c r="A21" s="250"/>
      <c r="B21" s="262" t="s">
        <v>284</v>
      </c>
      <c r="C21" s="262"/>
      <c r="D21" s="261"/>
      <c r="E21" s="261"/>
      <c r="F21" s="263" t="s">
        <v>211</v>
      </c>
      <c r="G21" s="261"/>
      <c r="H21" s="261"/>
      <c r="I21" s="261"/>
      <c r="J21" s="261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Y21" s="274"/>
      <c r="Z21" s="274"/>
      <c r="AA21" s="274"/>
      <c r="AB21" s="274"/>
      <c r="AC21" s="274"/>
      <c r="AD21" s="274"/>
      <c r="AE21" s="274"/>
    </row>
    <row r="22" spans="1:31">
      <c r="A22" s="250"/>
      <c r="B22" s="262"/>
      <c r="C22" s="262"/>
      <c r="D22" s="261"/>
      <c r="E22" s="261"/>
      <c r="F22" s="261"/>
      <c r="G22" s="261"/>
      <c r="H22" s="261"/>
      <c r="I22" s="261"/>
      <c r="J22" s="261"/>
      <c r="L22" s="262" t="s">
        <v>284</v>
      </c>
      <c r="M22" s="262"/>
      <c r="N22" s="261"/>
      <c r="O22" s="261"/>
      <c r="P22" s="263" t="s">
        <v>211</v>
      </c>
      <c r="Q22" s="261"/>
      <c r="R22" s="261"/>
      <c r="S22" s="261"/>
      <c r="T22" s="261"/>
    </row>
    <row r="23" spans="1:31">
      <c r="A23" s="250"/>
      <c r="B23" s="262"/>
      <c r="C23" s="261" t="s">
        <v>285</v>
      </c>
      <c r="D23" s="261"/>
      <c r="E23" s="261"/>
      <c r="F23" s="261"/>
      <c r="G23" s="273" t="s">
        <v>286</v>
      </c>
      <c r="H23" s="273"/>
      <c r="I23" s="273"/>
      <c r="J23" s="273"/>
      <c r="L23" s="262"/>
      <c r="M23" s="262"/>
      <c r="N23" s="261"/>
      <c r="O23" s="261"/>
      <c r="P23" s="261"/>
      <c r="Q23" s="261"/>
      <c r="R23" s="261"/>
      <c r="S23" s="261"/>
      <c r="T23" s="261"/>
      <c r="Z23" s="273"/>
      <c r="AA23" s="273"/>
      <c r="AB23" s="273"/>
      <c r="AC23" s="273"/>
    </row>
    <row r="24" spans="1:31">
      <c r="L24" s="262"/>
      <c r="M24" s="261" t="s">
        <v>285</v>
      </c>
      <c r="N24" s="261"/>
      <c r="O24" s="261"/>
      <c r="P24" s="261"/>
      <c r="Q24" s="273" t="s">
        <v>286</v>
      </c>
      <c r="R24" s="273"/>
      <c r="S24" s="273"/>
      <c r="T24" s="273"/>
    </row>
    <row r="26" spans="1:31">
      <c r="O26" s="61"/>
      <c r="P26" s="61"/>
      <c r="U26" s="61"/>
      <c r="V26" s="61"/>
      <c r="W26" s="61"/>
      <c r="X26" s="61"/>
    </row>
    <row r="27" spans="1:31">
      <c r="E27" s="265"/>
      <c r="F27" s="265"/>
    </row>
    <row r="39" ht="13.5" customHeight="1"/>
  </sheetData>
  <mergeCells count="13">
    <mergeCell ref="Y21:AE21"/>
    <mergeCell ref="G23:J23"/>
    <mergeCell ref="Z23:AC23"/>
    <mergeCell ref="Q24:T24"/>
    <mergeCell ref="K8:X8"/>
    <mergeCell ref="K11:K12"/>
    <mergeCell ref="M21:R21"/>
    <mergeCell ref="S21:V21"/>
    <mergeCell ref="E1:F1"/>
    <mergeCell ref="E27:F27"/>
    <mergeCell ref="G1:H1"/>
    <mergeCell ref="A4:G4"/>
    <mergeCell ref="A6:G6"/>
  </mergeCells>
  <phoneticPr fontId="15" type="noConversion"/>
  <pageMargins left="1.1417322834645669" right="0.74803149606299213" top="0.98425196850393704" bottom="0.98425196850393704" header="0.51181102362204722" footer="0.51181102362204722"/>
  <pageSetup paperSize="9" orientation="landscape" horizontalDpi="4294967293" r:id="rId1"/>
  <headerFooter alignWithMargins="0"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GG60"/>
  <sheetViews>
    <sheetView showGridLines="0" workbookViewId="0">
      <pane xSplit="3" topLeftCell="D1" activePane="topRight" state="frozen"/>
      <selection pane="topRight" activeCell="J56" sqref="J56"/>
    </sheetView>
  </sheetViews>
  <sheetFormatPr defaultColWidth="7.140625" defaultRowHeight="12"/>
  <cols>
    <col min="1" max="1" width="3.7109375" style="104" customWidth="1"/>
    <col min="2" max="2" width="48.85546875" style="104" customWidth="1"/>
    <col min="3" max="3" width="9" style="104" customWidth="1"/>
    <col min="4" max="9" width="7.140625" style="64" customWidth="1"/>
    <col min="10" max="10" width="7.42578125" style="64" customWidth="1"/>
    <col min="11" max="11" width="8.5703125" style="64" customWidth="1"/>
    <col min="12" max="12" width="7.42578125" style="64" customWidth="1"/>
    <col min="13" max="13" width="7.140625" style="64"/>
    <col min="14" max="14" width="7.85546875" style="64" bestFit="1" customWidth="1"/>
    <col min="15" max="16384" width="7.140625" style="64"/>
  </cols>
  <sheetData>
    <row r="1" spans="1:189" ht="15.75" customHeight="1">
      <c r="A1" s="279" t="s">
        <v>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</row>
    <row r="2" spans="1:189" ht="15.75" customHeight="1">
      <c r="A2" s="280" t="s">
        <v>1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</row>
    <row r="3" spans="1:189" ht="15.75" customHeight="1">
      <c r="A3" s="280" t="s">
        <v>276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</row>
    <row r="4" spans="1:189" ht="15.75" customHeight="1" thickBo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</row>
    <row r="5" spans="1:189" ht="13.5" customHeight="1" thickTop="1">
      <c r="A5" s="284" t="s">
        <v>2</v>
      </c>
      <c r="B5" s="286" t="s">
        <v>3</v>
      </c>
      <c r="C5" s="288" t="s">
        <v>4</v>
      </c>
      <c r="D5" s="281" t="s">
        <v>272</v>
      </c>
      <c r="E5" s="282"/>
      <c r="F5" s="282"/>
      <c r="G5" s="282"/>
      <c r="H5" s="282"/>
      <c r="I5" s="282"/>
      <c r="J5" s="283"/>
      <c r="K5" s="281" t="s">
        <v>275</v>
      </c>
      <c r="L5" s="282"/>
      <c r="M5" s="282"/>
      <c r="N5" s="282"/>
      <c r="O5" s="282"/>
      <c r="P5" s="282"/>
      <c r="Q5" s="283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</row>
    <row r="6" spans="1:189" ht="14.25" customHeight="1">
      <c r="A6" s="285"/>
      <c r="B6" s="287"/>
      <c r="C6" s="287"/>
      <c r="D6" s="45" t="s">
        <v>5</v>
      </c>
      <c r="E6" s="45" t="s">
        <v>6</v>
      </c>
      <c r="F6" s="45" t="s">
        <v>7</v>
      </c>
      <c r="G6" s="45" t="s">
        <v>8</v>
      </c>
      <c r="H6" s="45" t="s">
        <v>9</v>
      </c>
      <c r="I6" s="45" t="s">
        <v>174</v>
      </c>
      <c r="J6" s="188" t="s">
        <v>10</v>
      </c>
      <c r="K6" s="45" t="s">
        <v>5</v>
      </c>
      <c r="L6" s="45" t="s">
        <v>6</v>
      </c>
      <c r="M6" s="45" t="s">
        <v>7</v>
      </c>
      <c r="N6" s="45" t="s">
        <v>8</v>
      </c>
      <c r="O6" s="45" t="s">
        <v>9</v>
      </c>
      <c r="P6" s="45" t="s">
        <v>174</v>
      </c>
      <c r="Q6" s="188" t="s">
        <v>10</v>
      </c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</row>
    <row r="7" spans="1:189" s="67" customFormat="1" ht="10.5" customHeight="1">
      <c r="A7" s="46">
        <v>1</v>
      </c>
      <c r="B7" s="47">
        <f t="shared" ref="B7:J7" si="0">A7+1</f>
        <v>2</v>
      </c>
      <c r="C7" s="47">
        <f t="shared" si="0"/>
        <v>3</v>
      </c>
      <c r="D7" s="47">
        <v>5</v>
      </c>
      <c r="E7" s="47">
        <v>6</v>
      </c>
      <c r="F7" s="47">
        <v>7</v>
      </c>
      <c r="G7" s="47">
        <f t="shared" si="0"/>
        <v>8</v>
      </c>
      <c r="H7" s="47">
        <f t="shared" si="0"/>
        <v>9</v>
      </c>
      <c r="I7" s="47">
        <f t="shared" si="0"/>
        <v>10</v>
      </c>
      <c r="J7" s="189">
        <f t="shared" si="0"/>
        <v>11</v>
      </c>
      <c r="K7" s="47">
        <v>8</v>
      </c>
      <c r="L7" s="47">
        <v>9</v>
      </c>
      <c r="M7" s="47">
        <v>10</v>
      </c>
      <c r="N7" s="47">
        <f>M7+1</f>
        <v>11</v>
      </c>
      <c r="O7" s="47">
        <f>N7+1</f>
        <v>12</v>
      </c>
      <c r="P7" s="47">
        <f>O7+1</f>
        <v>13</v>
      </c>
      <c r="Q7" s="189">
        <f>P7+1</f>
        <v>14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</row>
    <row r="8" spans="1:189">
      <c r="A8" s="48">
        <v>1</v>
      </c>
      <c r="B8" s="106" t="s">
        <v>175</v>
      </c>
      <c r="C8" s="57" t="s">
        <v>11</v>
      </c>
      <c r="D8" s="68"/>
      <c r="E8" s="68"/>
      <c r="F8" s="68"/>
      <c r="G8" s="68">
        <v>44758.26</v>
      </c>
      <c r="H8" s="68"/>
      <c r="I8" s="68"/>
      <c r="J8" s="69">
        <f>SUM(D8:I8)</f>
        <v>44758.26</v>
      </c>
      <c r="K8" s="68"/>
      <c r="L8" s="68"/>
      <c r="M8" s="68"/>
      <c r="N8" s="68">
        <f>10*30*24*92</f>
        <v>662400</v>
      </c>
      <c r="O8" s="68"/>
      <c r="P8" s="68"/>
      <c r="Q8" s="69">
        <f>SUM(K8:P8)</f>
        <v>662400</v>
      </c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70"/>
      <c r="EL8" s="70"/>
      <c r="EM8" s="70"/>
      <c r="EN8" s="70"/>
      <c r="EO8" s="70"/>
      <c r="EP8" s="70"/>
      <c r="EQ8" s="70"/>
      <c r="ER8" s="70"/>
      <c r="ES8" s="70"/>
      <c r="ET8" s="70"/>
      <c r="EU8" s="70"/>
      <c r="EV8" s="70"/>
      <c r="EW8" s="70"/>
      <c r="EX8" s="70"/>
      <c r="EY8" s="70"/>
      <c r="EZ8" s="70"/>
      <c r="FA8" s="70"/>
      <c r="FB8" s="70"/>
      <c r="FC8" s="70"/>
      <c r="FD8" s="70"/>
      <c r="FE8" s="70"/>
      <c r="FF8" s="70"/>
      <c r="FG8" s="70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</row>
    <row r="9" spans="1:189">
      <c r="A9" s="48">
        <v>2</v>
      </c>
      <c r="B9" s="106" t="s">
        <v>176</v>
      </c>
      <c r="C9" s="57" t="s">
        <v>11</v>
      </c>
      <c r="D9" s="109">
        <f t="shared" ref="D9:J9" si="1">IF(D11=0,0,D8-D11)</f>
        <v>0</v>
      </c>
      <c r="E9" s="109">
        <f t="shared" si="1"/>
        <v>0</v>
      </c>
      <c r="F9" s="109">
        <f t="shared" si="1"/>
        <v>0</v>
      </c>
      <c r="G9" s="109">
        <f t="shared" si="1"/>
        <v>4899.288999999997</v>
      </c>
      <c r="H9" s="109">
        <f t="shared" si="1"/>
        <v>0</v>
      </c>
      <c r="I9" s="109">
        <f t="shared" si="1"/>
        <v>0</v>
      </c>
      <c r="J9" s="110">
        <f t="shared" si="1"/>
        <v>4899.288999999997</v>
      </c>
      <c r="K9" s="109">
        <f t="shared" ref="K9:Q9" si="2">IF(K11=0,0,K8-K11)</f>
        <v>0</v>
      </c>
      <c r="L9" s="109">
        <f t="shared" si="2"/>
        <v>0</v>
      </c>
      <c r="M9" s="109">
        <f t="shared" si="2"/>
        <v>0</v>
      </c>
      <c r="N9" s="109">
        <f>N8*G10</f>
        <v>72507.041909135834</v>
      </c>
      <c r="O9" s="109">
        <f t="shared" si="2"/>
        <v>0</v>
      </c>
      <c r="P9" s="109">
        <f t="shared" si="2"/>
        <v>0</v>
      </c>
      <c r="Q9" s="110">
        <f t="shared" si="2"/>
        <v>72507.041909135878</v>
      </c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</row>
    <row r="10" spans="1:189">
      <c r="A10" s="48">
        <v>3</v>
      </c>
      <c r="B10" s="106" t="s">
        <v>12</v>
      </c>
      <c r="C10" s="57" t="s">
        <v>13</v>
      </c>
      <c r="D10" s="55">
        <f t="shared" ref="D10:J10" si="3">IF(D8=0,0,D9/D8)</f>
        <v>0</v>
      </c>
      <c r="E10" s="55">
        <f t="shared" si="3"/>
        <v>0</v>
      </c>
      <c r="F10" s="55">
        <f t="shared" si="3"/>
        <v>0</v>
      </c>
      <c r="G10" s="55">
        <f t="shared" si="3"/>
        <v>0.10946111399326061</v>
      </c>
      <c r="H10" s="55">
        <f t="shared" si="3"/>
        <v>0</v>
      </c>
      <c r="I10" s="55">
        <f t="shared" si="3"/>
        <v>0</v>
      </c>
      <c r="J10" s="71">
        <f t="shared" si="3"/>
        <v>0.10946111399326061</v>
      </c>
      <c r="K10" s="55">
        <f t="shared" ref="K10:Q10" si="4">IF(K8=0,0,K9/K8)</f>
        <v>0</v>
      </c>
      <c r="L10" s="55">
        <f t="shared" si="4"/>
        <v>0</v>
      </c>
      <c r="M10" s="55">
        <f t="shared" si="4"/>
        <v>0</v>
      </c>
      <c r="N10" s="55">
        <f t="shared" si="4"/>
        <v>0.10946111399326063</v>
      </c>
      <c r="O10" s="55">
        <f t="shared" si="4"/>
        <v>0</v>
      </c>
      <c r="P10" s="55">
        <f t="shared" si="4"/>
        <v>0</v>
      </c>
      <c r="Q10" s="71">
        <f t="shared" si="4"/>
        <v>0.10946111399326068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</row>
    <row r="11" spans="1:189">
      <c r="A11" s="48">
        <v>4</v>
      </c>
      <c r="B11" s="106" t="s">
        <v>177</v>
      </c>
      <c r="C11" s="57" t="s">
        <v>11</v>
      </c>
      <c r="D11" s="73"/>
      <c r="E11" s="73"/>
      <c r="F11" s="73"/>
      <c r="G11" s="68">
        <v>39858.971000000005</v>
      </c>
      <c r="H11" s="73"/>
      <c r="I11" s="73"/>
      <c r="J11" s="69">
        <f>SUM(D11:I11)</f>
        <v>39858.971000000005</v>
      </c>
      <c r="K11" s="73"/>
      <c r="L11" s="73"/>
      <c r="M11" s="73"/>
      <c r="N11" s="68">
        <f>N8-N9</f>
        <v>589892.95809086412</v>
      </c>
      <c r="O11" s="73"/>
      <c r="P11" s="73"/>
      <c r="Q11" s="69">
        <f>SUM(K11:P11)</f>
        <v>589892.95809086412</v>
      </c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</row>
    <row r="12" spans="1:189">
      <c r="A12" s="48">
        <v>5</v>
      </c>
      <c r="B12" s="106" t="s">
        <v>178</v>
      </c>
      <c r="C12" s="57" t="s">
        <v>14</v>
      </c>
      <c r="D12" s="51">
        <f t="shared" ref="D12:J12" si="5">(D14*D20+D15*D21+D17*D22+D18*D23)/7000</f>
        <v>0</v>
      </c>
      <c r="E12" s="51">
        <f t="shared" si="5"/>
        <v>0</v>
      </c>
      <c r="F12" s="51">
        <f t="shared" si="5"/>
        <v>0</v>
      </c>
      <c r="G12" s="51">
        <f t="shared" si="5"/>
        <v>17108.147115571428</v>
      </c>
      <c r="H12" s="51">
        <f t="shared" si="5"/>
        <v>0</v>
      </c>
      <c r="I12" s="51">
        <f t="shared" si="5"/>
        <v>0</v>
      </c>
      <c r="J12" s="190">
        <f t="shared" si="5"/>
        <v>17108.147115571428</v>
      </c>
      <c r="K12" s="51">
        <f t="shared" ref="K12:Q12" si="6">(K14*K20+K15*K21+K17*K22+K18*K23)/7000</f>
        <v>0</v>
      </c>
      <c r="L12" s="51">
        <f t="shared" si="6"/>
        <v>0</v>
      </c>
      <c r="M12" s="51">
        <f t="shared" si="6"/>
        <v>0</v>
      </c>
      <c r="N12" s="51">
        <f>(N14*N20+N15*N21+N17*N22+N18*N23)/7000</f>
        <v>249394.19225890809</v>
      </c>
      <c r="O12" s="51">
        <f t="shared" si="6"/>
        <v>0</v>
      </c>
      <c r="P12" s="51">
        <f t="shared" si="6"/>
        <v>0</v>
      </c>
      <c r="Q12" s="190">
        <f t="shared" si="6"/>
        <v>124697.09612945405</v>
      </c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</row>
    <row r="13" spans="1:189">
      <c r="A13" s="48"/>
      <c r="B13" s="107" t="s">
        <v>15</v>
      </c>
      <c r="C13" s="57"/>
      <c r="D13" s="76"/>
      <c r="E13" s="76"/>
      <c r="F13" s="76"/>
      <c r="G13" s="76"/>
      <c r="H13" s="76"/>
      <c r="I13" s="76"/>
      <c r="J13" s="191"/>
      <c r="K13" s="76"/>
      <c r="L13" s="76"/>
      <c r="M13" s="76"/>
      <c r="N13" s="76"/>
      <c r="O13" s="76"/>
      <c r="P13" s="76"/>
      <c r="Q13" s="191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</row>
    <row r="14" spans="1:189">
      <c r="A14" s="52" t="s">
        <v>16</v>
      </c>
      <c r="B14" s="106" t="s">
        <v>179</v>
      </c>
      <c r="C14" s="57" t="s">
        <v>17</v>
      </c>
      <c r="D14" s="68"/>
      <c r="E14" s="68"/>
      <c r="F14" s="68"/>
      <c r="G14" s="68">
        <v>5529.598</v>
      </c>
      <c r="H14" s="68"/>
      <c r="I14" s="68"/>
      <c r="J14" s="69">
        <f>SUM(D14:I14)</f>
        <v>5529.598</v>
      </c>
      <c r="K14" s="68"/>
      <c r="L14" s="68"/>
      <c r="M14" s="68"/>
      <c r="N14" s="68"/>
      <c r="O14" s="68"/>
      <c r="P14" s="68"/>
      <c r="Q14" s="69">
        <f>SUM(K14:P14)</f>
        <v>0</v>
      </c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</row>
    <row r="15" spans="1:189">
      <c r="A15" s="52" t="s">
        <v>18</v>
      </c>
      <c r="B15" s="106" t="s">
        <v>180</v>
      </c>
      <c r="C15" s="57" t="s">
        <v>17</v>
      </c>
      <c r="D15" s="73"/>
      <c r="E15" s="73"/>
      <c r="F15" s="73"/>
      <c r="G15" s="73"/>
      <c r="H15" s="73"/>
      <c r="I15" s="73"/>
      <c r="J15" s="69">
        <f>SUM(D15:I15)</f>
        <v>0</v>
      </c>
      <c r="K15" s="73"/>
      <c r="L15" s="73"/>
      <c r="M15" s="73"/>
      <c r="N15" s="73">
        <f>0.5*(G12/G8*N8*0.985-N17*N22/7000)*7000/N21</f>
        <v>202995.2727688787</v>
      </c>
      <c r="O15" s="73"/>
      <c r="P15" s="73"/>
      <c r="Q15" s="69">
        <f>SUM(K15:P15)</f>
        <v>202995.2727688787</v>
      </c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</row>
    <row r="16" spans="1:189">
      <c r="A16" s="53"/>
      <c r="B16" s="106" t="s">
        <v>199</v>
      </c>
      <c r="C16" s="57" t="s">
        <v>17</v>
      </c>
      <c r="D16" s="73"/>
      <c r="E16" s="73"/>
      <c r="F16" s="73"/>
      <c r="G16" s="76">
        <v>733.5</v>
      </c>
      <c r="H16" s="73"/>
      <c r="I16" s="73"/>
      <c r="J16" s="69">
        <f>SUM(D16:I16)</f>
        <v>733.5</v>
      </c>
      <c r="K16" s="73"/>
      <c r="L16" s="73"/>
      <c r="M16" s="73"/>
      <c r="N16" s="76">
        <f>130*10</f>
        <v>1300</v>
      </c>
      <c r="O16" s="73"/>
      <c r="P16" s="73"/>
      <c r="Q16" s="69">
        <f>SUM(K16:P16)</f>
        <v>1300</v>
      </c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</row>
    <row r="17" spans="1:189">
      <c r="A17" s="54" t="s">
        <v>19</v>
      </c>
      <c r="B17" s="106" t="s">
        <v>20</v>
      </c>
      <c r="C17" s="57" t="s">
        <v>17</v>
      </c>
      <c r="D17" s="73"/>
      <c r="E17" s="73"/>
      <c r="F17" s="73"/>
      <c r="G17" s="76">
        <v>1820.5450000000001</v>
      </c>
      <c r="H17" s="73"/>
      <c r="I17" s="73"/>
      <c r="J17" s="69">
        <f>SUM(D17:I17)</f>
        <v>1820.5450000000001</v>
      </c>
      <c r="K17" s="73"/>
      <c r="L17" s="73"/>
      <c r="M17" s="73"/>
      <c r="N17" s="76">
        <v>0</v>
      </c>
      <c r="O17" s="73"/>
      <c r="P17" s="73"/>
      <c r="Q17" s="69">
        <f>SUM(K17:P17)</f>
        <v>0</v>
      </c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</row>
    <row r="18" spans="1:189">
      <c r="A18" s="53" t="s">
        <v>62</v>
      </c>
      <c r="B18" s="106" t="s">
        <v>181</v>
      </c>
      <c r="C18" s="57" t="s">
        <v>182</v>
      </c>
      <c r="D18" s="73"/>
      <c r="E18" s="73"/>
      <c r="F18" s="73"/>
      <c r="G18" s="76">
        <v>8499.4250000000011</v>
      </c>
      <c r="H18" s="73"/>
      <c r="I18" s="73"/>
      <c r="J18" s="69">
        <f>SUM(D18:I18)</f>
        <v>8499.4250000000011</v>
      </c>
      <c r="K18" s="73"/>
      <c r="L18" s="73"/>
      <c r="M18" s="73"/>
      <c r="N18" s="76">
        <f>(G12/G8*N8*0.985-N15*N21/7000-N17*N22/7000)*7000/N23</f>
        <v>106448.74059831443</v>
      </c>
      <c r="O18" s="73"/>
      <c r="P18" s="73"/>
      <c r="Q18" s="69">
        <f>SUM(K18:P18)</f>
        <v>106448.74059831443</v>
      </c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79"/>
      <c r="DL18" s="79"/>
      <c r="DM18" s="79"/>
      <c r="DN18" s="79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M18" s="79"/>
      <c r="EN18" s="79"/>
      <c r="EO18" s="79"/>
      <c r="EP18" s="79"/>
      <c r="EQ18" s="79"/>
      <c r="ER18" s="79"/>
      <c r="ES18" s="79"/>
      <c r="ET18" s="79"/>
      <c r="EU18" s="79"/>
      <c r="EV18" s="79"/>
      <c r="EW18" s="79"/>
      <c r="EX18" s="79"/>
      <c r="EY18" s="79"/>
      <c r="EZ18" s="79"/>
      <c r="FA18" s="79"/>
      <c r="FB18" s="79"/>
      <c r="FC18" s="79"/>
      <c r="FD18" s="79"/>
      <c r="FE18" s="79"/>
      <c r="FF18" s="79"/>
      <c r="FG18" s="79"/>
      <c r="FH18" s="79"/>
      <c r="FI18" s="79"/>
      <c r="FJ18" s="79"/>
      <c r="FK18" s="79"/>
      <c r="FL18" s="79"/>
      <c r="FM18" s="79"/>
      <c r="FN18" s="79"/>
      <c r="FO18" s="79"/>
      <c r="FP18" s="79"/>
      <c r="FQ18" s="79"/>
      <c r="FR18" s="79"/>
      <c r="FS18" s="79"/>
      <c r="FT18" s="79"/>
      <c r="FU18" s="79"/>
      <c r="FV18" s="79"/>
      <c r="FW18" s="79"/>
      <c r="FX18" s="79"/>
      <c r="FY18" s="79"/>
      <c r="FZ18" s="79"/>
      <c r="GA18" s="79"/>
      <c r="GB18" s="79"/>
      <c r="GC18" s="79"/>
      <c r="GD18" s="79"/>
      <c r="GE18" s="79"/>
      <c r="GF18" s="79"/>
      <c r="GG18" s="79"/>
    </row>
    <row r="19" spans="1:189">
      <c r="A19" s="48">
        <v>6</v>
      </c>
      <c r="B19" s="106" t="s">
        <v>183</v>
      </c>
      <c r="C19" s="57" t="s">
        <v>21</v>
      </c>
      <c r="D19" s="113">
        <f t="shared" ref="D19:J19" si="7">IF(D14+D15+D17+D18=0,0,7000*D12/(D14+D15+D17+D18))</f>
        <v>0</v>
      </c>
      <c r="E19" s="113">
        <f t="shared" si="7"/>
        <v>0</v>
      </c>
      <c r="F19" s="113">
        <f t="shared" si="7"/>
        <v>0</v>
      </c>
      <c r="G19" s="113">
        <f t="shared" si="7"/>
        <v>7555.854507138617</v>
      </c>
      <c r="H19" s="113">
        <f t="shared" si="7"/>
        <v>0</v>
      </c>
      <c r="I19" s="113">
        <f t="shared" si="7"/>
        <v>0</v>
      </c>
      <c r="J19" s="74">
        <f t="shared" si="7"/>
        <v>7555.854507138617</v>
      </c>
      <c r="K19" s="113">
        <f t="shared" ref="K19:Q19" si="8">IF(K14+K15+K17+K18=0,0,7000*K12/(K14+K15+K17+K18))</f>
        <v>0</v>
      </c>
      <c r="L19" s="113">
        <f t="shared" si="8"/>
        <v>0</v>
      </c>
      <c r="M19" s="113">
        <f t="shared" si="8"/>
        <v>0</v>
      </c>
      <c r="N19" s="113">
        <f t="shared" si="8"/>
        <v>5641.6</v>
      </c>
      <c r="O19" s="113">
        <f t="shared" si="8"/>
        <v>0</v>
      </c>
      <c r="P19" s="113">
        <f t="shared" si="8"/>
        <v>0</v>
      </c>
      <c r="Q19" s="74">
        <f t="shared" si="8"/>
        <v>2820.8</v>
      </c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</row>
    <row r="20" spans="1:189">
      <c r="A20" s="54" t="s">
        <v>22</v>
      </c>
      <c r="B20" s="106" t="s">
        <v>179</v>
      </c>
      <c r="C20" s="57" t="s">
        <v>21</v>
      </c>
      <c r="D20" s="76"/>
      <c r="E20" s="76"/>
      <c r="F20" s="76"/>
      <c r="G20" s="76">
        <v>5910.2600503689418</v>
      </c>
      <c r="H20" s="76"/>
      <c r="I20" s="76"/>
      <c r="J20" s="192">
        <f>G20</f>
        <v>5910.2600503689418</v>
      </c>
      <c r="K20" s="76"/>
      <c r="L20" s="76"/>
      <c r="M20" s="76"/>
      <c r="N20" s="76"/>
      <c r="O20" s="76"/>
      <c r="P20" s="76"/>
      <c r="Q20" s="192">
        <f>N20</f>
        <v>0</v>
      </c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</row>
    <row r="21" spans="1:189">
      <c r="A21" s="54" t="s">
        <v>23</v>
      </c>
      <c r="B21" s="106" t="s">
        <v>180</v>
      </c>
      <c r="C21" s="57" t="s">
        <v>21</v>
      </c>
      <c r="D21" s="76"/>
      <c r="E21" s="76"/>
      <c r="F21" s="76"/>
      <c r="G21" s="76"/>
      <c r="H21" s="76"/>
      <c r="I21" s="76"/>
      <c r="J21" s="191"/>
      <c r="K21" s="76"/>
      <c r="L21" s="76"/>
      <c r="M21" s="76"/>
      <c r="N21" s="76">
        <v>4300</v>
      </c>
      <c r="O21" s="76"/>
      <c r="P21" s="76"/>
      <c r="Q21" s="19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</row>
    <row r="22" spans="1:189">
      <c r="A22" s="248" t="s">
        <v>205</v>
      </c>
      <c r="B22" s="106" t="s">
        <v>20</v>
      </c>
      <c r="C22" s="57" t="s">
        <v>21</v>
      </c>
      <c r="D22" s="76"/>
      <c r="E22" s="76"/>
      <c r="F22" s="76"/>
      <c r="G22" s="76">
        <v>9707</v>
      </c>
      <c r="H22" s="76"/>
      <c r="I22" s="76"/>
      <c r="J22" s="192">
        <f>G22</f>
        <v>9707</v>
      </c>
      <c r="K22" s="76"/>
      <c r="L22" s="76"/>
      <c r="M22" s="76"/>
      <c r="N22" s="76">
        <v>9596</v>
      </c>
      <c r="O22" s="76"/>
      <c r="P22" s="76"/>
      <c r="Q22" s="192">
        <f>N22</f>
        <v>9596</v>
      </c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</row>
    <row r="23" spans="1:189">
      <c r="A23" s="54" t="s">
        <v>24</v>
      </c>
      <c r="B23" s="106" t="s">
        <v>181</v>
      </c>
      <c r="C23" s="57" t="s">
        <v>184</v>
      </c>
      <c r="D23" s="76"/>
      <c r="E23" s="76"/>
      <c r="F23" s="76"/>
      <c r="G23" s="76">
        <v>8165.686189359868</v>
      </c>
      <c r="H23" s="76"/>
      <c r="I23" s="76"/>
      <c r="J23" s="192">
        <f>G23</f>
        <v>8165.686189359868</v>
      </c>
      <c r="K23" s="76"/>
      <c r="L23" s="76"/>
      <c r="M23" s="76"/>
      <c r="N23" s="76">
        <v>8200</v>
      </c>
      <c r="O23" s="76"/>
      <c r="P23" s="76"/>
      <c r="Q23" s="192">
        <f>N23</f>
        <v>8200</v>
      </c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</row>
    <row r="24" spans="1:189">
      <c r="A24" s="48">
        <v>7</v>
      </c>
      <c r="B24" s="106" t="s">
        <v>185</v>
      </c>
      <c r="C24" s="57" t="s">
        <v>25</v>
      </c>
      <c r="D24" s="112" t="e">
        <f t="shared" ref="D24:J24" si="9">(D14*D25+D15*D26+D17*D27+D18*D28)/D12</f>
        <v>#DIV/0!</v>
      </c>
      <c r="E24" s="112" t="e">
        <f t="shared" si="9"/>
        <v>#DIV/0!</v>
      </c>
      <c r="F24" s="112" t="e">
        <f t="shared" si="9"/>
        <v>#DIV/0!</v>
      </c>
      <c r="G24" s="112">
        <f t="shared" si="9"/>
        <v>320.58580415898723</v>
      </c>
      <c r="H24" s="112" t="e">
        <f t="shared" si="9"/>
        <v>#DIV/0!</v>
      </c>
      <c r="I24" s="112" t="e">
        <f t="shared" si="9"/>
        <v>#DIV/0!</v>
      </c>
      <c r="J24" s="121">
        <f t="shared" si="9"/>
        <v>320.58580415898723</v>
      </c>
      <c r="K24" s="112" t="e">
        <f t="shared" ref="K24:Q24" si="10">(K14*K25+K15*K26+K17*K27+K18*K28)/K12</f>
        <v>#DIV/0!</v>
      </c>
      <c r="L24" s="112" t="e">
        <f t="shared" si="10"/>
        <v>#DIV/0!</v>
      </c>
      <c r="M24" s="112" t="e">
        <f t="shared" si="10"/>
        <v>#DIV/0!</v>
      </c>
      <c r="N24" s="112">
        <f t="shared" si="10"/>
        <v>302.210360947249</v>
      </c>
      <c r="O24" s="112" t="e">
        <f t="shared" si="10"/>
        <v>#DIV/0!</v>
      </c>
      <c r="P24" s="112" t="e">
        <f t="shared" si="10"/>
        <v>#DIV/0!</v>
      </c>
      <c r="Q24" s="121">
        <f t="shared" si="10"/>
        <v>604.420721894498</v>
      </c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</row>
    <row r="25" spans="1:189">
      <c r="A25" s="54" t="s">
        <v>26</v>
      </c>
      <c r="B25" s="106" t="s">
        <v>179</v>
      </c>
      <c r="C25" s="57" t="s">
        <v>27</v>
      </c>
      <c r="D25" s="83"/>
      <c r="E25" s="83"/>
      <c r="F25" s="83"/>
      <c r="G25" s="83">
        <v>222.29413199999999</v>
      </c>
      <c r="H25" s="83"/>
      <c r="I25" s="83"/>
      <c r="J25" s="192">
        <f>G25</f>
        <v>222.29413199999999</v>
      </c>
      <c r="K25" s="83"/>
      <c r="L25" s="83"/>
      <c r="M25" s="83"/>
      <c r="N25" s="83"/>
      <c r="O25" s="83"/>
      <c r="P25" s="83"/>
      <c r="Q25" s="192">
        <f>N25</f>
        <v>0</v>
      </c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4"/>
      <c r="FV25" s="84"/>
      <c r="FW25" s="84"/>
      <c r="FX25" s="84"/>
      <c r="FY25" s="84"/>
      <c r="FZ25" s="84"/>
      <c r="GA25" s="84"/>
      <c r="GB25" s="84"/>
      <c r="GC25" s="84"/>
      <c r="GD25" s="84"/>
      <c r="GE25" s="84"/>
      <c r="GF25" s="84"/>
      <c r="GG25" s="84"/>
    </row>
    <row r="26" spans="1:189">
      <c r="A26" s="54" t="s">
        <v>28</v>
      </c>
      <c r="B26" s="106" t="s">
        <v>180</v>
      </c>
      <c r="C26" s="57" t="s">
        <v>27</v>
      </c>
      <c r="D26" s="83"/>
      <c r="E26" s="83"/>
      <c r="F26" s="83"/>
      <c r="G26" s="83"/>
      <c r="H26" s="83"/>
      <c r="I26" s="83"/>
      <c r="J26" s="193"/>
      <c r="K26" s="83"/>
      <c r="L26" s="83"/>
      <c r="M26" s="83"/>
      <c r="N26" s="83">
        <f>(77*1.65973+18)</f>
        <v>145.79920999999999</v>
      </c>
      <c r="O26" s="83"/>
      <c r="P26" s="83"/>
      <c r="Q26" s="192">
        <f>N26</f>
        <v>145.79920999999999</v>
      </c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  <c r="CA26" s="85"/>
      <c r="CB26" s="85"/>
      <c r="CC26" s="85"/>
      <c r="CD26" s="85"/>
      <c r="CE26" s="85"/>
      <c r="CF26" s="85"/>
      <c r="CG26" s="85"/>
      <c r="CH26" s="85"/>
      <c r="CI26" s="85"/>
      <c r="CJ26" s="85"/>
      <c r="CK26" s="85"/>
      <c r="CL26" s="85"/>
      <c r="CM26" s="85"/>
      <c r="CN26" s="85"/>
      <c r="CO26" s="85"/>
      <c r="CP26" s="85"/>
      <c r="CQ26" s="85"/>
      <c r="CR26" s="85"/>
      <c r="CS26" s="85"/>
      <c r="CT26" s="85"/>
      <c r="CU26" s="85"/>
      <c r="CV26" s="85"/>
      <c r="CW26" s="85"/>
      <c r="CX26" s="85"/>
      <c r="CY26" s="85"/>
      <c r="CZ26" s="85"/>
      <c r="DA26" s="85"/>
      <c r="DB26" s="85"/>
      <c r="DC26" s="85"/>
      <c r="DD26" s="85"/>
      <c r="DE26" s="85"/>
      <c r="DF26" s="85"/>
      <c r="DG26" s="85"/>
      <c r="DH26" s="85"/>
      <c r="DI26" s="85"/>
      <c r="DJ26" s="85"/>
      <c r="DK26" s="85"/>
      <c r="DL26" s="85"/>
      <c r="DM26" s="85"/>
      <c r="DN26" s="85"/>
      <c r="DO26" s="85"/>
      <c r="DP26" s="85"/>
      <c r="DQ26" s="85"/>
      <c r="DR26" s="85"/>
      <c r="DS26" s="85"/>
      <c r="DT26" s="85"/>
      <c r="DU26" s="85"/>
      <c r="DV26" s="85"/>
      <c r="DW26" s="85"/>
      <c r="DX26" s="85"/>
      <c r="DY26" s="85"/>
      <c r="DZ26" s="85"/>
      <c r="EA26" s="85"/>
      <c r="EB26" s="85"/>
      <c r="EC26" s="85"/>
      <c r="ED26" s="85"/>
      <c r="EE26" s="85"/>
      <c r="EF26" s="85"/>
      <c r="EG26" s="85"/>
      <c r="EH26" s="85"/>
      <c r="EI26" s="85"/>
      <c r="EJ26" s="85"/>
      <c r="EK26" s="85"/>
      <c r="EL26" s="85"/>
      <c r="EM26" s="85"/>
      <c r="EN26" s="85"/>
      <c r="EO26" s="85"/>
      <c r="EP26" s="85"/>
      <c r="EQ26" s="85"/>
      <c r="ER26" s="85"/>
      <c r="ES26" s="85"/>
      <c r="ET26" s="85"/>
      <c r="EU26" s="85"/>
      <c r="EV26" s="85"/>
      <c r="EW26" s="85"/>
      <c r="EX26" s="85"/>
      <c r="EY26" s="85"/>
      <c r="EZ26" s="85"/>
      <c r="FA26" s="85"/>
      <c r="FB26" s="85"/>
      <c r="FC26" s="85"/>
      <c r="FD26" s="85"/>
      <c r="FE26" s="85"/>
      <c r="FF26" s="85"/>
      <c r="FG26" s="85"/>
      <c r="FH26" s="85"/>
      <c r="FI26" s="85"/>
      <c r="FJ26" s="85"/>
      <c r="FK26" s="85"/>
      <c r="FL26" s="85"/>
      <c r="FM26" s="85"/>
      <c r="FN26" s="85"/>
      <c r="FO26" s="85"/>
      <c r="FP26" s="85"/>
      <c r="FQ26" s="85"/>
      <c r="FR26" s="85"/>
      <c r="FS26" s="85"/>
      <c r="FT26" s="85"/>
      <c r="FU26" s="85"/>
      <c r="FV26" s="85"/>
      <c r="FW26" s="85"/>
      <c r="FX26" s="85"/>
      <c r="FY26" s="85"/>
      <c r="FZ26" s="85"/>
      <c r="GA26" s="85"/>
      <c r="GB26" s="85"/>
      <c r="GC26" s="85"/>
      <c r="GD26" s="85"/>
      <c r="GE26" s="85"/>
      <c r="GF26" s="85"/>
      <c r="GG26" s="85"/>
    </row>
    <row r="27" spans="1:189">
      <c r="A27" s="54" t="s">
        <v>29</v>
      </c>
      <c r="B27" s="106" t="s">
        <v>20</v>
      </c>
      <c r="C27" s="57" t="s">
        <v>27</v>
      </c>
      <c r="D27" s="83"/>
      <c r="E27" s="83"/>
      <c r="F27" s="83"/>
      <c r="G27" s="83">
        <v>801.84299290000001</v>
      </c>
      <c r="H27" s="83"/>
      <c r="I27" s="83"/>
      <c r="J27" s="192">
        <f>G27</f>
        <v>801.84299290000001</v>
      </c>
      <c r="K27" s="83"/>
      <c r="L27" s="83"/>
      <c r="M27" s="83"/>
      <c r="N27" s="83">
        <v>793</v>
      </c>
      <c r="O27" s="83"/>
      <c r="P27" s="83"/>
      <c r="Q27" s="192">
        <f>N27</f>
        <v>793</v>
      </c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  <c r="FV27" s="84"/>
      <c r="FW27" s="84"/>
      <c r="FX27" s="84"/>
      <c r="FY27" s="84"/>
      <c r="FZ27" s="84"/>
      <c r="GA27" s="84"/>
      <c r="GB27" s="84"/>
      <c r="GC27" s="84"/>
      <c r="GD27" s="84"/>
      <c r="GE27" s="84"/>
      <c r="GF27" s="84"/>
      <c r="GG27" s="84"/>
    </row>
    <row r="28" spans="1:189">
      <c r="A28" s="248" t="s">
        <v>206</v>
      </c>
      <c r="B28" s="106" t="s">
        <v>181</v>
      </c>
      <c r="C28" s="57" t="s">
        <v>27</v>
      </c>
      <c r="D28" s="83"/>
      <c r="E28" s="83"/>
      <c r="F28" s="83"/>
      <c r="G28" s="83">
        <v>328.92115189999998</v>
      </c>
      <c r="H28" s="83"/>
      <c r="I28" s="83"/>
      <c r="J28" s="192">
        <f>G28</f>
        <v>328.92115189999998</v>
      </c>
      <c r="K28" s="83"/>
      <c r="L28" s="83"/>
      <c r="M28" s="83"/>
      <c r="N28" s="83">
        <v>430</v>
      </c>
      <c r="O28" s="83"/>
      <c r="P28" s="83"/>
      <c r="Q28" s="192">
        <f>N28</f>
        <v>430</v>
      </c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</row>
    <row r="29" spans="1:189" ht="14.25" customHeight="1">
      <c r="A29" s="48">
        <v>8</v>
      </c>
      <c r="B29" s="108" t="s">
        <v>186</v>
      </c>
      <c r="C29" s="57" t="s">
        <v>30</v>
      </c>
      <c r="D29" s="113">
        <f t="shared" ref="D29:J29" si="11">IF(D8=0,0,D12*1000/D8)</f>
        <v>0</v>
      </c>
      <c r="E29" s="113">
        <f t="shared" si="11"/>
        <v>0</v>
      </c>
      <c r="F29" s="113">
        <f t="shared" si="11"/>
        <v>0</v>
      </c>
      <c r="G29" s="113">
        <f t="shared" si="11"/>
        <v>382.23441026464002</v>
      </c>
      <c r="H29" s="113">
        <f t="shared" si="11"/>
        <v>0</v>
      </c>
      <c r="I29" s="113">
        <f t="shared" si="11"/>
        <v>0</v>
      </c>
      <c r="J29" s="86">
        <f t="shared" si="11"/>
        <v>382.23441026464002</v>
      </c>
      <c r="K29" s="113">
        <f t="shared" ref="K29:Q29" si="12">IF(K8=0,0,K12*1000/K8)</f>
        <v>0</v>
      </c>
      <c r="L29" s="113">
        <f t="shared" si="12"/>
        <v>0</v>
      </c>
      <c r="M29" s="113">
        <f t="shared" si="12"/>
        <v>0</v>
      </c>
      <c r="N29" s="113">
        <f>IF(N8=0,0,N12*1000/N8)</f>
        <v>376.50089411067046</v>
      </c>
      <c r="O29" s="113">
        <f t="shared" si="12"/>
        <v>0</v>
      </c>
      <c r="P29" s="113">
        <f t="shared" si="12"/>
        <v>0</v>
      </c>
      <c r="Q29" s="86">
        <f t="shared" si="12"/>
        <v>188.25044705533523</v>
      </c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</row>
    <row r="30" spans="1:189">
      <c r="A30" s="48">
        <v>9</v>
      </c>
      <c r="B30" s="108" t="s">
        <v>187</v>
      </c>
      <c r="C30" s="57" t="s">
        <v>30</v>
      </c>
      <c r="D30" s="114">
        <f t="shared" ref="D30:J30" si="13">IF(D11=0,0,D12*1000/D11)</f>
        <v>0</v>
      </c>
      <c r="E30" s="114">
        <f t="shared" si="13"/>
        <v>0</v>
      </c>
      <c r="F30" s="114">
        <f t="shared" si="13"/>
        <v>0</v>
      </c>
      <c r="G30" s="114">
        <f t="shared" si="13"/>
        <v>429.21697892229645</v>
      </c>
      <c r="H30" s="114">
        <f t="shared" si="13"/>
        <v>0</v>
      </c>
      <c r="I30" s="114">
        <f t="shared" si="13"/>
        <v>0</v>
      </c>
      <c r="J30" s="87">
        <f t="shared" si="13"/>
        <v>429.21697892229645</v>
      </c>
      <c r="K30" s="114">
        <f t="shared" ref="K30:Q30" si="14">IF(K11=0,0,K12*1000/K11)</f>
        <v>0</v>
      </c>
      <c r="L30" s="114">
        <f t="shared" si="14"/>
        <v>0</v>
      </c>
      <c r="M30" s="114">
        <f t="shared" si="14"/>
        <v>0</v>
      </c>
      <c r="N30" s="114">
        <f t="shared" si="14"/>
        <v>422.77872423846208</v>
      </c>
      <c r="O30" s="114">
        <f t="shared" si="14"/>
        <v>0</v>
      </c>
      <c r="P30" s="114">
        <f t="shared" si="14"/>
        <v>0</v>
      </c>
      <c r="Q30" s="87">
        <f t="shared" si="14"/>
        <v>211.38936211923104</v>
      </c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  <c r="DJ30" s="84"/>
      <c r="DK30" s="84"/>
      <c r="DL30" s="84"/>
      <c r="DM30" s="84"/>
      <c r="DN30" s="84"/>
      <c r="DO30" s="84"/>
      <c r="DP30" s="84"/>
      <c r="DQ30" s="84"/>
      <c r="DR30" s="84"/>
      <c r="DS30" s="84"/>
      <c r="DT30" s="84"/>
      <c r="DU30" s="84"/>
      <c r="DV30" s="84"/>
      <c r="DW30" s="84"/>
      <c r="DX30" s="84"/>
      <c r="DY30" s="84"/>
      <c r="DZ30" s="84"/>
      <c r="EA30" s="84"/>
      <c r="EB30" s="84"/>
      <c r="EC30" s="84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4"/>
      <c r="ER30" s="84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4"/>
      <c r="FG30" s="84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4"/>
      <c r="FV30" s="84"/>
      <c r="FW30" s="84"/>
      <c r="FX30" s="84"/>
      <c r="FY30" s="84"/>
      <c r="FZ30" s="84"/>
      <c r="GA30" s="84"/>
      <c r="GB30" s="84"/>
      <c r="GC30" s="84"/>
      <c r="GD30" s="84"/>
      <c r="GE30" s="84"/>
      <c r="GF30" s="84"/>
      <c r="GG30" s="84"/>
    </row>
    <row r="31" spans="1:189">
      <c r="A31" s="48">
        <v>10</v>
      </c>
      <c r="B31" s="106" t="s">
        <v>188</v>
      </c>
      <c r="C31" s="57" t="s">
        <v>31</v>
      </c>
      <c r="D31" s="115" t="e">
        <f t="shared" ref="D31:J31" si="15">D24*D30*10^-6</f>
        <v>#DIV/0!</v>
      </c>
      <c r="E31" s="115" t="e">
        <f t="shared" si="15"/>
        <v>#DIV/0!</v>
      </c>
      <c r="F31" s="115" t="e">
        <f t="shared" si="15"/>
        <v>#DIV/0!</v>
      </c>
      <c r="G31" s="115">
        <f t="shared" si="15"/>
        <v>0.13760087034649546</v>
      </c>
      <c r="H31" s="115" t="e">
        <f t="shared" si="15"/>
        <v>#DIV/0!</v>
      </c>
      <c r="I31" s="115" t="e">
        <f t="shared" si="15"/>
        <v>#DIV/0!</v>
      </c>
      <c r="J31" s="88">
        <f t="shared" si="15"/>
        <v>0.13760087034649546</v>
      </c>
      <c r="K31" s="115" t="e">
        <f t="shared" ref="K31:Q31" si="16">K24*K30*10^-6</f>
        <v>#DIV/0!</v>
      </c>
      <c r="L31" s="115" t="e">
        <f t="shared" si="16"/>
        <v>#DIV/0!</v>
      </c>
      <c r="M31" s="115" t="e">
        <f t="shared" si="16"/>
        <v>#DIV/0!</v>
      </c>
      <c r="N31" s="115">
        <f t="shared" si="16"/>
        <v>0.12776811085292306</v>
      </c>
      <c r="O31" s="115" t="e">
        <f t="shared" si="16"/>
        <v>#DIV/0!</v>
      </c>
      <c r="P31" s="115" t="e">
        <f t="shared" si="16"/>
        <v>#DIV/0!</v>
      </c>
      <c r="Q31" s="88">
        <f t="shared" si="16"/>
        <v>0.12776811085292306</v>
      </c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  <c r="FW31" s="89"/>
      <c r="FX31" s="89"/>
      <c r="FY31" s="89"/>
      <c r="FZ31" s="89"/>
      <c r="GA31" s="89"/>
      <c r="GB31" s="89"/>
      <c r="GC31" s="89"/>
      <c r="GD31" s="89"/>
      <c r="GE31" s="89"/>
      <c r="GF31" s="89"/>
      <c r="GG31" s="89"/>
    </row>
    <row r="32" spans="1:189">
      <c r="A32" s="48">
        <v>11</v>
      </c>
      <c r="B32" s="106" t="s">
        <v>189</v>
      </c>
      <c r="C32" s="57" t="s">
        <v>32</v>
      </c>
      <c r="D32" s="111">
        <f t="shared" ref="D32:J32" si="17">IF(D8=0,0,D12*7000/D8)</f>
        <v>0</v>
      </c>
      <c r="E32" s="111">
        <f t="shared" si="17"/>
        <v>0</v>
      </c>
      <c r="F32" s="111">
        <f t="shared" si="17"/>
        <v>0</v>
      </c>
      <c r="G32" s="111">
        <f t="shared" si="17"/>
        <v>2675.6408718524804</v>
      </c>
      <c r="H32" s="111">
        <f t="shared" si="17"/>
        <v>0</v>
      </c>
      <c r="I32" s="111">
        <f t="shared" si="17"/>
        <v>0</v>
      </c>
      <c r="J32" s="74">
        <f t="shared" si="17"/>
        <v>2675.6408718524804</v>
      </c>
      <c r="K32" s="111">
        <f t="shared" ref="K32:Q32" si="18">IF(K8=0,0,K12*7000/K8)</f>
        <v>0</v>
      </c>
      <c r="L32" s="111">
        <f t="shared" si="18"/>
        <v>0</v>
      </c>
      <c r="M32" s="111">
        <f t="shared" si="18"/>
        <v>0</v>
      </c>
      <c r="N32" s="111">
        <f t="shared" si="18"/>
        <v>2635.5062587746929</v>
      </c>
      <c r="O32" s="111">
        <f t="shared" si="18"/>
        <v>0</v>
      </c>
      <c r="P32" s="111">
        <f t="shared" si="18"/>
        <v>0</v>
      </c>
      <c r="Q32" s="74">
        <f t="shared" si="18"/>
        <v>1317.7531293873465</v>
      </c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90"/>
      <c r="FV32" s="90"/>
      <c r="FW32" s="90"/>
      <c r="FX32" s="90"/>
      <c r="FY32" s="90"/>
      <c r="FZ32" s="90"/>
      <c r="GA32" s="90"/>
      <c r="GB32" s="90"/>
      <c r="GC32" s="90"/>
      <c r="GD32" s="90"/>
      <c r="GE32" s="90"/>
      <c r="GF32" s="90"/>
      <c r="GG32" s="90"/>
    </row>
    <row r="33" spans="1:189" ht="24">
      <c r="A33" s="48">
        <v>12</v>
      </c>
      <c r="B33" s="108" t="s">
        <v>190</v>
      </c>
      <c r="C33" s="57" t="s">
        <v>33</v>
      </c>
      <c r="D33" s="111">
        <f t="shared" ref="D33:J33" si="19">D34+D35</f>
        <v>0</v>
      </c>
      <c r="E33" s="111">
        <f t="shared" si="19"/>
        <v>0</v>
      </c>
      <c r="F33" s="111">
        <f t="shared" si="19"/>
        <v>0</v>
      </c>
      <c r="G33" s="111">
        <f t="shared" si="19"/>
        <v>9</v>
      </c>
      <c r="H33" s="111">
        <f t="shared" si="19"/>
        <v>0</v>
      </c>
      <c r="I33" s="111">
        <f t="shared" si="19"/>
        <v>0</v>
      </c>
      <c r="J33" s="74">
        <f t="shared" si="19"/>
        <v>9</v>
      </c>
      <c r="K33" s="111">
        <f t="shared" ref="K33:Q33" si="20">K34+K35</f>
        <v>0</v>
      </c>
      <c r="L33" s="111">
        <f t="shared" si="20"/>
        <v>0</v>
      </c>
      <c r="M33" s="111">
        <f t="shared" si="20"/>
        <v>0</v>
      </c>
      <c r="N33" s="111">
        <f t="shared" si="20"/>
        <v>10</v>
      </c>
      <c r="O33" s="111">
        <f t="shared" si="20"/>
        <v>0</v>
      </c>
      <c r="P33" s="111">
        <f t="shared" si="20"/>
        <v>0</v>
      </c>
      <c r="Q33" s="74">
        <f t="shared" si="20"/>
        <v>10</v>
      </c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</row>
    <row r="34" spans="1:189">
      <c r="A34" s="54" t="s">
        <v>34</v>
      </c>
      <c r="B34" s="106" t="s">
        <v>35</v>
      </c>
      <c r="C34" s="57" t="s">
        <v>33</v>
      </c>
      <c r="D34" s="50"/>
      <c r="E34" s="50"/>
      <c r="F34" s="50"/>
      <c r="G34" s="50">
        <v>9</v>
      </c>
      <c r="H34" s="50"/>
      <c r="I34" s="50"/>
      <c r="J34" s="194">
        <f>SUM(D34:I34)</f>
        <v>9</v>
      </c>
      <c r="K34" s="50"/>
      <c r="L34" s="50"/>
      <c r="M34" s="50"/>
      <c r="N34" s="50">
        <v>10</v>
      </c>
      <c r="O34" s="50"/>
      <c r="P34" s="50"/>
      <c r="Q34" s="194">
        <f>SUM(K34:P34)</f>
        <v>10</v>
      </c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5"/>
      <c r="FG34" s="6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</row>
    <row r="35" spans="1:189">
      <c r="A35" s="54" t="s">
        <v>36</v>
      </c>
      <c r="B35" s="106" t="s">
        <v>37</v>
      </c>
      <c r="C35" s="57" t="s">
        <v>33</v>
      </c>
      <c r="D35" s="50"/>
      <c r="E35" s="50"/>
      <c r="F35" s="50"/>
      <c r="G35" s="50"/>
      <c r="H35" s="50"/>
      <c r="I35" s="50"/>
      <c r="J35" s="194">
        <f>SUM(D35:I35)</f>
        <v>0</v>
      </c>
      <c r="K35" s="50"/>
      <c r="L35" s="50"/>
      <c r="M35" s="50"/>
      <c r="N35" s="50"/>
      <c r="O35" s="50"/>
      <c r="P35" s="50"/>
      <c r="Q35" s="194">
        <f>SUM(K35:P35)</f>
        <v>0</v>
      </c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5"/>
      <c r="FG35" s="6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</row>
    <row r="36" spans="1:189">
      <c r="A36" s="48">
        <v>13</v>
      </c>
      <c r="B36" s="106" t="s">
        <v>191</v>
      </c>
      <c r="C36" s="57" t="s">
        <v>38</v>
      </c>
      <c r="D36" s="91"/>
      <c r="E36" s="91"/>
      <c r="F36" s="91"/>
      <c r="G36" s="91">
        <v>110</v>
      </c>
      <c r="H36" s="91"/>
      <c r="I36" s="91"/>
      <c r="J36" s="194">
        <f>SUM(D36:I36)</f>
        <v>110</v>
      </c>
      <c r="K36" s="91"/>
      <c r="L36" s="91"/>
      <c r="M36" s="91"/>
      <c r="N36" s="91">
        <f>G36</f>
        <v>110</v>
      </c>
      <c r="O36" s="91"/>
      <c r="P36" s="91"/>
      <c r="Q36" s="194">
        <f>SUM(K36:P36)</f>
        <v>110</v>
      </c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</row>
    <row r="37" spans="1:189">
      <c r="A37" s="48">
        <v>14</v>
      </c>
      <c r="B37" s="106" t="s">
        <v>192</v>
      </c>
      <c r="C37" s="57" t="s">
        <v>38</v>
      </c>
      <c r="D37" s="116">
        <f t="shared" ref="D37:J37" si="21">D36*(8760-D42)/8760</f>
        <v>0</v>
      </c>
      <c r="E37" s="116">
        <f t="shared" si="21"/>
        <v>0</v>
      </c>
      <c r="F37" s="116">
        <f t="shared" si="21"/>
        <v>0</v>
      </c>
      <c r="G37" s="116">
        <f>G36*(8760-G42)/8760</f>
        <v>10.2234703196347</v>
      </c>
      <c r="H37" s="116">
        <f t="shared" si="21"/>
        <v>0</v>
      </c>
      <c r="I37" s="116">
        <f t="shared" si="21"/>
        <v>0</v>
      </c>
      <c r="J37" s="92">
        <f t="shared" si="21"/>
        <v>10.2234703196347</v>
      </c>
      <c r="K37" s="116">
        <f t="shared" ref="K37:Q37" si="22">K36*(8760-K42)/8760</f>
        <v>0</v>
      </c>
      <c r="L37" s="116">
        <f t="shared" si="22"/>
        <v>0</v>
      </c>
      <c r="M37" s="116">
        <f t="shared" si="22"/>
        <v>0</v>
      </c>
      <c r="N37" s="116">
        <f t="shared" si="22"/>
        <v>19.589041095890412</v>
      </c>
      <c r="O37" s="116">
        <f t="shared" si="22"/>
        <v>0</v>
      </c>
      <c r="P37" s="116">
        <f t="shared" si="22"/>
        <v>0</v>
      </c>
      <c r="Q37" s="92">
        <f t="shared" si="22"/>
        <v>19.589041095890412</v>
      </c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</row>
    <row r="38" spans="1:189">
      <c r="A38" s="48">
        <v>15</v>
      </c>
      <c r="B38" s="106" t="s">
        <v>193</v>
      </c>
      <c r="C38" s="57" t="s">
        <v>38</v>
      </c>
      <c r="D38" s="117">
        <f t="shared" ref="D38:J38" si="23">D36-D37</f>
        <v>0</v>
      </c>
      <c r="E38" s="117">
        <f t="shared" si="23"/>
        <v>0</v>
      </c>
      <c r="F38" s="117">
        <f t="shared" si="23"/>
        <v>0</v>
      </c>
      <c r="G38" s="117">
        <f t="shared" si="23"/>
        <v>99.7765296803653</v>
      </c>
      <c r="H38" s="117">
        <f t="shared" si="23"/>
        <v>0</v>
      </c>
      <c r="I38" s="117">
        <f t="shared" si="23"/>
        <v>0</v>
      </c>
      <c r="J38" s="120">
        <f t="shared" si="23"/>
        <v>99.7765296803653</v>
      </c>
      <c r="K38" s="117">
        <f t="shared" ref="K38:Q38" si="24">K36-K37</f>
        <v>0</v>
      </c>
      <c r="L38" s="117">
        <f t="shared" si="24"/>
        <v>0</v>
      </c>
      <c r="M38" s="117">
        <f t="shared" si="24"/>
        <v>0</v>
      </c>
      <c r="N38" s="117">
        <f t="shared" si="24"/>
        <v>90.410958904109592</v>
      </c>
      <c r="O38" s="117">
        <f t="shared" si="24"/>
        <v>0</v>
      </c>
      <c r="P38" s="117">
        <f t="shared" si="24"/>
        <v>0</v>
      </c>
      <c r="Q38" s="120">
        <f t="shared" si="24"/>
        <v>90.410958904109592</v>
      </c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</row>
    <row r="39" spans="1:189">
      <c r="A39" s="48">
        <v>16</v>
      </c>
      <c r="B39" s="106" t="s">
        <v>194</v>
      </c>
      <c r="C39" s="57" t="s">
        <v>38</v>
      </c>
      <c r="D39" s="111">
        <f t="shared" ref="D39:J39" si="25">IF(D41=0,0,D8/D41)</f>
        <v>0</v>
      </c>
      <c r="E39" s="111">
        <f t="shared" si="25"/>
        <v>0</v>
      </c>
      <c r="F39" s="111">
        <f t="shared" si="25"/>
        <v>0</v>
      </c>
      <c r="G39" s="111">
        <f t="shared" si="25"/>
        <v>83.288226427734031</v>
      </c>
      <c r="H39" s="111">
        <f t="shared" si="25"/>
        <v>0</v>
      </c>
      <c r="I39" s="111">
        <f t="shared" si="25"/>
        <v>0</v>
      </c>
      <c r="J39" s="74">
        <f t="shared" si="25"/>
        <v>83.288226427734031</v>
      </c>
      <c r="K39" s="111">
        <f t="shared" ref="K39:Q39" si="26">IF(K41=0,0,K8/K41)</f>
        <v>0</v>
      </c>
      <c r="L39" s="111">
        <f t="shared" si="26"/>
        <v>0</v>
      </c>
      <c r="M39" s="111">
        <f t="shared" si="26"/>
        <v>0</v>
      </c>
      <c r="N39" s="111">
        <f>IF(N41=0,0,N8/N41)</f>
        <v>92</v>
      </c>
      <c r="O39" s="111">
        <f t="shared" si="26"/>
        <v>0</v>
      </c>
      <c r="P39" s="111">
        <f t="shared" si="26"/>
        <v>0</v>
      </c>
      <c r="Q39" s="74">
        <f t="shared" si="26"/>
        <v>92</v>
      </c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84"/>
      <c r="DH39" s="84"/>
      <c r="DI39" s="84"/>
      <c r="DJ39" s="84"/>
      <c r="DK39" s="84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4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  <c r="GA39" s="84"/>
      <c r="GB39" s="84"/>
      <c r="GC39" s="84"/>
      <c r="GD39" s="84"/>
      <c r="GE39" s="84"/>
      <c r="GF39" s="84"/>
      <c r="GG39" s="84"/>
    </row>
    <row r="40" spans="1:189">
      <c r="A40" s="48">
        <v>17</v>
      </c>
      <c r="B40" s="106" t="s">
        <v>195</v>
      </c>
      <c r="C40" s="57" t="s">
        <v>13</v>
      </c>
      <c r="D40" s="118">
        <f t="shared" ref="D40:J40" si="27">IF(D36=0,0,D39/D36)</f>
        <v>0</v>
      </c>
      <c r="E40" s="118">
        <f t="shared" si="27"/>
        <v>0</v>
      </c>
      <c r="F40" s="118">
        <f t="shared" si="27"/>
        <v>0</v>
      </c>
      <c r="G40" s="118">
        <f t="shared" si="27"/>
        <v>0.75716569479758211</v>
      </c>
      <c r="H40" s="118">
        <f t="shared" si="27"/>
        <v>0</v>
      </c>
      <c r="I40" s="118">
        <f t="shared" si="27"/>
        <v>0</v>
      </c>
      <c r="J40" s="96">
        <f t="shared" si="27"/>
        <v>0.75716569479758211</v>
      </c>
      <c r="K40" s="118">
        <f t="shared" ref="K40:Q40" si="28">IF(K36=0,0,K39/K36)</f>
        <v>0</v>
      </c>
      <c r="L40" s="118">
        <f t="shared" si="28"/>
        <v>0</v>
      </c>
      <c r="M40" s="118">
        <f t="shared" si="28"/>
        <v>0</v>
      </c>
      <c r="N40" s="118">
        <f>IF(N36=0,0,N39/N36)</f>
        <v>0.83636363636363631</v>
      </c>
      <c r="O40" s="118">
        <f t="shared" si="28"/>
        <v>0</v>
      </c>
      <c r="P40" s="118">
        <f t="shared" si="28"/>
        <v>0</v>
      </c>
      <c r="Q40" s="96">
        <f t="shared" si="28"/>
        <v>0.83636363636363631</v>
      </c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4"/>
      <c r="BM40" s="94"/>
      <c r="BN40" s="94"/>
      <c r="BO40" s="94"/>
      <c r="BP40" s="94"/>
      <c r="BQ40" s="94"/>
      <c r="BR40" s="94"/>
      <c r="BS40" s="94"/>
      <c r="BT40" s="94"/>
      <c r="BU40" s="94"/>
      <c r="BV40" s="94"/>
      <c r="BW40" s="94"/>
      <c r="BX40" s="94"/>
      <c r="BY40" s="94"/>
      <c r="BZ40" s="94"/>
      <c r="CA40" s="94"/>
      <c r="CB40" s="94"/>
      <c r="CC40" s="94"/>
      <c r="CD40" s="94"/>
      <c r="CE40" s="94"/>
      <c r="CF40" s="94"/>
      <c r="CG40" s="94"/>
      <c r="CH40" s="94"/>
      <c r="CI40" s="94"/>
      <c r="CJ40" s="94"/>
      <c r="CK40" s="94"/>
      <c r="CL40" s="94"/>
      <c r="CM40" s="94"/>
      <c r="CN40" s="94"/>
      <c r="CO40" s="94"/>
      <c r="CP40" s="94"/>
      <c r="CQ40" s="94"/>
      <c r="CR40" s="94"/>
      <c r="CS40" s="94"/>
      <c r="CT40" s="94"/>
      <c r="CU40" s="94"/>
      <c r="CV40" s="94"/>
      <c r="CW40" s="94"/>
      <c r="CX40" s="94"/>
      <c r="CY40" s="94"/>
      <c r="CZ40" s="94"/>
      <c r="DA40" s="94"/>
      <c r="DB40" s="94"/>
      <c r="DC40" s="94"/>
      <c r="DD40" s="94"/>
      <c r="DE40" s="94"/>
      <c r="DF40" s="94"/>
      <c r="DG40" s="94"/>
      <c r="DH40" s="94"/>
      <c r="DI40" s="94"/>
      <c r="DJ40" s="94"/>
      <c r="DK40" s="94"/>
      <c r="DL40" s="94"/>
      <c r="DM40" s="94"/>
      <c r="DN40" s="94"/>
      <c r="DO40" s="94"/>
      <c r="DP40" s="94"/>
      <c r="DQ40" s="94"/>
      <c r="DR40" s="94"/>
      <c r="DS40" s="94"/>
      <c r="DT40" s="94"/>
      <c r="DU40" s="94"/>
      <c r="DV40" s="94"/>
      <c r="DW40" s="94"/>
      <c r="DX40" s="94"/>
      <c r="DY40" s="94"/>
      <c r="DZ40" s="94"/>
      <c r="EA40" s="94"/>
      <c r="EB40" s="94"/>
      <c r="EC40" s="94"/>
      <c r="ED40" s="94"/>
      <c r="EE40" s="94"/>
      <c r="EF40" s="94"/>
      <c r="EG40" s="94"/>
      <c r="EH40" s="94"/>
      <c r="EI40" s="94"/>
      <c r="EJ40" s="94"/>
      <c r="EK40" s="94"/>
      <c r="EL40" s="94"/>
      <c r="EM40" s="94"/>
      <c r="EN40" s="94"/>
      <c r="EO40" s="94"/>
      <c r="EP40" s="94"/>
      <c r="EQ40" s="94"/>
      <c r="ER40" s="94"/>
      <c r="ES40" s="94"/>
      <c r="ET40" s="94"/>
      <c r="EU40" s="94"/>
      <c r="EV40" s="94"/>
      <c r="EW40" s="94"/>
      <c r="EX40" s="94"/>
      <c r="EY40" s="94"/>
      <c r="EZ40" s="94"/>
      <c r="FA40" s="94"/>
      <c r="FB40" s="94"/>
      <c r="FC40" s="94"/>
      <c r="FD40" s="94"/>
      <c r="FE40" s="94"/>
      <c r="FF40" s="94"/>
      <c r="FG40" s="94"/>
      <c r="FH40" s="94"/>
      <c r="FI40" s="94"/>
      <c r="FJ40" s="94"/>
      <c r="FK40" s="94"/>
      <c r="FL40" s="94"/>
      <c r="FM40" s="94"/>
      <c r="FN40" s="94"/>
      <c r="FO40" s="94"/>
      <c r="FP40" s="94"/>
      <c r="FQ40" s="94"/>
      <c r="FR40" s="94"/>
      <c r="FS40" s="94"/>
      <c r="FT40" s="94"/>
      <c r="FU40" s="94"/>
      <c r="FV40" s="94"/>
      <c r="FW40" s="94"/>
      <c r="FX40" s="94"/>
      <c r="FY40" s="94"/>
      <c r="FZ40" s="94"/>
      <c r="GA40" s="94"/>
      <c r="GB40" s="94"/>
      <c r="GC40" s="94"/>
      <c r="GD40" s="94"/>
      <c r="GE40" s="94"/>
      <c r="GF40" s="94"/>
      <c r="GG40" s="94"/>
    </row>
    <row r="41" spans="1:189">
      <c r="A41" s="48">
        <v>18</v>
      </c>
      <c r="B41" s="106" t="s">
        <v>196</v>
      </c>
      <c r="C41" s="57" t="s">
        <v>39</v>
      </c>
      <c r="D41" s="95"/>
      <c r="E41" s="95"/>
      <c r="F41" s="95"/>
      <c r="G41" s="95">
        <v>537.3900000000001</v>
      </c>
      <c r="H41" s="95"/>
      <c r="I41" s="95"/>
      <c r="J41" s="69">
        <f>SUM(D41:I41)</f>
        <v>537.3900000000001</v>
      </c>
      <c r="K41" s="95"/>
      <c r="L41" s="95"/>
      <c r="M41" s="95"/>
      <c r="N41" s="95">
        <f>7200</f>
        <v>7200</v>
      </c>
      <c r="O41" s="95"/>
      <c r="P41" s="95"/>
      <c r="Q41" s="69">
        <f>SUM(K41:P41)</f>
        <v>7200</v>
      </c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5"/>
      <c r="FG41" s="75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5"/>
      <c r="FV41" s="75"/>
      <c r="FW41" s="75"/>
      <c r="FX41" s="75"/>
      <c r="FY41" s="75"/>
      <c r="FZ41" s="75"/>
      <c r="GA41" s="75"/>
      <c r="GB41" s="75"/>
      <c r="GC41" s="75"/>
      <c r="GD41" s="75"/>
      <c r="GE41" s="75"/>
      <c r="GF41" s="75"/>
      <c r="GG41" s="75"/>
    </row>
    <row r="42" spans="1:189">
      <c r="A42" s="48">
        <v>19</v>
      </c>
      <c r="B42" s="106" t="s">
        <v>197</v>
      </c>
      <c r="C42" s="57" t="s">
        <v>39</v>
      </c>
      <c r="D42" s="73"/>
      <c r="E42" s="73"/>
      <c r="F42" s="73"/>
      <c r="G42" s="73">
        <f>537.39*0+7945.84</f>
        <v>7945.84</v>
      </c>
      <c r="H42" s="73"/>
      <c r="I42" s="73"/>
      <c r="J42" s="69">
        <f>SUM(D42:I42)</f>
        <v>7945.84</v>
      </c>
      <c r="K42" s="73"/>
      <c r="L42" s="73"/>
      <c r="M42" s="73"/>
      <c r="N42" s="95">
        <f>N41</f>
        <v>7200</v>
      </c>
      <c r="O42" s="73"/>
      <c r="P42" s="73"/>
      <c r="Q42" s="69">
        <f>SUM(K42:P42)</f>
        <v>7200</v>
      </c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0"/>
      <c r="EF42" s="70"/>
      <c r="EG42" s="70"/>
      <c r="EH42" s="70"/>
      <c r="EI42" s="70"/>
      <c r="EJ42" s="70"/>
      <c r="EK42" s="70"/>
      <c r="EL42" s="70"/>
      <c r="EM42" s="70"/>
      <c r="EN42" s="70"/>
      <c r="EO42" s="70"/>
      <c r="EP42" s="70"/>
      <c r="EQ42" s="70"/>
      <c r="ER42" s="70"/>
      <c r="ES42" s="70"/>
      <c r="ET42" s="70"/>
      <c r="EU42" s="70"/>
      <c r="EV42" s="70"/>
      <c r="EW42" s="70"/>
      <c r="EX42" s="70"/>
      <c r="EY42" s="70"/>
      <c r="EZ42" s="70"/>
      <c r="FA42" s="70"/>
      <c r="FB42" s="70"/>
      <c r="FC42" s="70"/>
      <c r="FD42" s="70"/>
      <c r="FE42" s="70"/>
      <c r="FF42" s="70"/>
      <c r="FG42" s="70"/>
      <c r="FH42" s="70"/>
      <c r="FI42" s="70"/>
      <c r="FJ42" s="70"/>
      <c r="FK42" s="70"/>
      <c r="FL42" s="70"/>
      <c r="FM42" s="70"/>
      <c r="FN42" s="70"/>
      <c r="FO42" s="70"/>
      <c r="FP42" s="70"/>
      <c r="FQ42" s="70"/>
      <c r="FR42" s="70"/>
      <c r="FS42" s="70"/>
      <c r="FT42" s="70"/>
      <c r="FU42" s="70"/>
      <c r="FV42" s="70"/>
      <c r="FW42" s="70"/>
      <c r="FX42" s="70"/>
      <c r="FY42" s="70"/>
      <c r="FZ42" s="70"/>
      <c r="GA42" s="70"/>
      <c r="GB42" s="70"/>
      <c r="GC42" s="70"/>
      <c r="GD42" s="70"/>
      <c r="GE42" s="70"/>
      <c r="GF42" s="70"/>
      <c r="GG42" s="70"/>
    </row>
    <row r="43" spans="1:189">
      <c r="A43" s="48">
        <v>20</v>
      </c>
      <c r="B43" s="106" t="s">
        <v>198</v>
      </c>
      <c r="C43" s="57" t="s">
        <v>13</v>
      </c>
      <c r="D43" s="118">
        <f t="shared" ref="D43:J43" si="29">D41/8760</f>
        <v>0</v>
      </c>
      <c r="E43" s="118">
        <f t="shared" si="29"/>
        <v>0</v>
      </c>
      <c r="F43" s="118">
        <f t="shared" si="29"/>
        <v>0</v>
      </c>
      <c r="G43" s="118">
        <f t="shared" si="29"/>
        <v>6.1345890410958913E-2</v>
      </c>
      <c r="H43" s="118">
        <f t="shared" si="29"/>
        <v>0</v>
      </c>
      <c r="I43" s="118">
        <f t="shared" si="29"/>
        <v>0</v>
      </c>
      <c r="J43" s="96">
        <f t="shared" si="29"/>
        <v>6.1345890410958913E-2</v>
      </c>
      <c r="K43" s="118">
        <f t="shared" ref="K43:Q43" si="30">K41/8760</f>
        <v>0</v>
      </c>
      <c r="L43" s="118">
        <f t="shared" si="30"/>
        <v>0</v>
      </c>
      <c r="M43" s="118">
        <f t="shared" si="30"/>
        <v>0</v>
      </c>
      <c r="N43" s="118">
        <f t="shared" si="30"/>
        <v>0.82191780821917804</v>
      </c>
      <c r="O43" s="118">
        <f t="shared" si="30"/>
        <v>0</v>
      </c>
      <c r="P43" s="118">
        <f t="shared" si="30"/>
        <v>0</v>
      </c>
      <c r="Q43" s="96">
        <f t="shared" si="30"/>
        <v>0.82191780821917804</v>
      </c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/>
      <c r="BK43" s="94"/>
      <c r="BL43" s="94"/>
      <c r="BM43" s="94"/>
      <c r="BN43" s="94"/>
      <c r="BO43" s="94"/>
      <c r="BP43" s="94"/>
      <c r="BQ43" s="94"/>
      <c r="BR43" s="94"/>
      <c r="BS43" s="94"/>
      <c r="BT43" s="94"/>
      <c r="BU43" s="94"/>
      <c r="BV43" s="94"/>
      <c r="BW43" s="94"/>
      <c r="BX43" s="94"/>
      <c r="BY43" s="94"/>
      <c r="BZ43" s="94"/>
      <c r="CA43" s="94"/>
      <c r="CB43" s="94"/>
      <c r="CC43" s="94"/>
      <c r="CD43" s="94"/>
      <c r="CE43" s="94"/>
      <c r="CF43" s="94"/>
      <c r="CG43" s="94"/>
      <c r="CH43" s="94"/>
      <c r="CI43" s="94"/>
      <c r="CJ43" s="94"/>
      <c r="CK43" s="94"/>
      <c r="CL43" s="94"/>
      <c r="CM43" s="94"/>
      <c r="CN43" s="94"/>
      <c r="CO43" s="94"/>
      <c r="CP43" s="94"/>
      <c r="CQ43" s="94"/>
      <c r="CR43" s="94"/>
      <c r="CS43" s="94"/>
      <c r="CT43" s="94"/>
      <c r="CU43" s="94"/>
      <c r="CV43" s="94"/>
      <c r="CW43" s="94"/>
      <c r="CX43" s="94"/>
      <c r="CY43" s="94"/>
      <c r="CZ43" s="94"/>
      <c r="DA43" s="94"/>
      <c r="DB43" s="94"/>
      <c r="DC43" s="94"/>
      <c r="DD43" s="94"/>
      <c r="DE43" s="94"/>
      <c r="DF43" s="94"/>
      <c r="DG43" s="94"/>
      <c r="DH43" s="94"/>
      <c r="DI43" s="94"/>
      <c r="DJ43" s="94"/>
      <c r="DK43" s="94"/>
      <c r="DL43" s="94"/>
      <c r="DM43" s="94"/>
      <c r="DN43" s="94"/>
      <c r="DO43" s="94"/>
      <c r="DP43" s="94"/>
      <c r="DQ43" s="94"/>
      <c r="DR43" s="94"/>
      <c r="DS43" s="94"/>
      <c r="DT43" s="94"/>
      <c r="DU43" s="94"/>
      <c r="DV43" s="94"/>
      <c r="DW43" s="94"/>
      <c r="DX43" s="94"/>
      <c r="DY43" s="94"/>
      <c r="DZ43" s="94"/>
      <c r="EA43" s="94"/>
      <c r="EB43" s="94"/>
      <c r="EC43" s="94"/>
      <c r="ED43" s="94"/>
      <c r="EE43" s="94"/>
      <c r="EF43" s="94"/>
      <c r="EG43" s="94"/>
      <c r="EH43" s="94"/>
      <c r="EI43" s="94"/>
      <c r="EJ43" s="94"/>
      <c r="EK43" s="94"/>
      <c r="EL43" s="94"/>
      <c r="EM43" s="94"/>
      <c r="EN43" s="94"/>
      <c r="EO43" s="94"/>
      <c r="EP43" s="94"/>
      <c r="EQ43" s="94"/>
      <c r="ER43" s="94"/>
      <c r="ES43" s="94"/>
      <c r="ET43" s="94"/>
      <c r="EU43" s="94"/>
      <c r="EV43" s="94"/>
      <c r="EW43" s="94"/>
      <c r="EX43" s="94"/>
      <c r="EY43" s="94"/>
      <c r="EZ43" s="94"/>
      <c r="FA43" s="94"/>
      <c r="FB43" s="94"/>
      <c r="FC43" s="94"/>
      <c r="FD43" s="94"/>
      <c r="FE43" s="94"/>
      <c r="FF43" s="94"/>
      <c r="FG43" s="94"/>
      <c r="FH43" s="94"/>
      <c r="FI43" s="94"/>
      <c r="FJ43" s="94"/>
      <c r="FK43" s="94"/>
      <c r="FL43" s="94"/>
      <c r="FM43" s="94"/>
      <c r="FN43" s="94"/>
      <c r="FO43" s="94"/>
      <c r="FP43" s="94"/>
      <c r="FQ43" s="94"/>
      <c r="FR43" s="94"/>
      <c r="FS43" s="94"/>
      <c r="FT43" s="94"/>
      <c r="FU43" s="94"/>
      <c r="FV43" s="94"/>
      <c r="FW43" s="94"/>
      <c r="FX43" s="94"/>
      <c r="FY43" s="94"/>
      <c r="FZ43" s="94"/>
      <c r="GA43" s="94"/>
      <c r="GB43" s="94"/>
      <c r="GC43" s="94"/>
      <c r="GD43" s="94"/>
      <c r="GE43" s="94"/>
      <c r="GF43" s="94"/>
      <c r="GG43" s="94"/>
    </row>
    <row r="44" spans="1:189">
      <c r="A44" s="48">
        <v>21</v>
      </c>
      <c r="B44" s="49" t="s">
        <v>200</v>
      </c>
      <c r="C44" s="57" t="s">
        <v>11</v>
      </c>
      <c r="D44" s="119">
        <f t="shared" ref="D44:J44" si="31">D45+D46</f>
        <v>0</v>
      </c>
      <c r="E44" s="119">
        <f t="shared" si="31"/>
        <v>0</v>
      </c>
      <c r="F44" s="119">
        <f t="shared" si="31"/>
        <v>0</v>
      </c>
      <c r="G44" s="119">
        <f t="shared" si="31"/>
        <v>675512.86</v>
      </c>
      <c r="H44" s="119">
        <f t="shared" si="31"/>
        <v>0</v>
      </c>
      <c r="I44" s="119">
        <f t="shared" si="31"/>
        <v>0</v>
      </c>
      <c r="J44" s="77">
        <f t="shared" si="31"/>
        <v>675512.86</v>
      </c>
      <c r="K44" s="119">
        <f t="shared" ref="K44:Q44" si="32">K45+K46</f>
        <v>0</v>
      </c>
      <c r="L44" s="119">
        <f t="shared" si="32"/>
        <v>0</v>
      </c>
      <c r="M44" s="119">
        <f t="shared" si="32"/>
        <v>0</v>
      </c>
      <c r="N44" s="119">
        <f t="shared" si="32"/>
        <v>589892.95809086412</v>
      </c>
      <c r="O44" s="119">
        <f t="shared" si="32"/>
        <v>0</v>
      </c>
      <c r="P44" s="119">
        <f t="shared" si="32"/>
        <v>0</v>
      </c>
      <c r="Q44" s="77">
        <f t="shared" si="32"/>
        <v>589892.95809086412</v>
      </c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75"/>
      <c r="FX44" s="75"/>
      <c r="FY44" s="75"/>
      <c r="FZ44" s="75"/>
      <c r="GA44" s="75"/>
      <c r="GB44" s="75"/>
      <c r="GC44" s="75"/>
      <c r="GD44" s="75"/>
      <c r="GE44" s="75"/>
      <c r="GF44" s="75"/>
      <c r="GG44" s="75"/>
    </row>
    <row r="45" spans="1:189">
      <c r="A45" s="48">
        <v>22</v>
      </c>
      <c r="B45" s="49" t="s">
        <v>201</v>
      </c>
      <c r="C45" s="57" t="s">
        <v>11</v>
      </c>
      <c r="D45" s="97"/>
      <c r="E45" s="97"/>
      <c r="F45" s="97"/>
      <c r="G45" s="97">
        <v>317228.55</v>
      </c>
      <c r="H45" s="97"/>
      <c r="I45" s="97"/>
      <c r="J45" s="69">
        <f>SUM(D45:I45)</f>
        <v>317228.55</v>
      </c>
      <c r="K45" s="97"/>
      <c r="L45" s="97"/>
      <c r="M45" s="97"/>
      <c r="N45" s="97">
        <f>6*24*30*92</f>
        <v>397440</v>
      </c>
      <c r="O45" s="97"/>
      <c r="P45" s="97"/>
      <c r="Q45" s="69">
        <f>SUM(K45:P45)</f>
        <v>397440</v>
      </c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5"/>
      <c r="DT45" s="75"/>
      <c r="DU45" s="75"/>
      <c r="DV45" s="75"/>
      <c r="DW45" s="75"/>
      <c r="DX45" s="75"/>
      <c r="DY45" s="75"/>
      <c r="DZ45" s="75"/>
      <c r="EA45" s="75"/>
      <c r="EB45" s="75"/>
      <c r="EC45" s="75"/>
      <c r="ED45" s="75"/>
      <c r="EE45" s="75"/>
      <c r="EF45" s="75"/>
      <c r="EG45" s="75"/>
      <c r="EH45" s="75"/>
      <c r="EI45" s="75"/>
      <c r="EJ45" s="75"/>
      <c r="EK45" s="75"/>
      <c r="EL45" s="75"/>
      <c r="EM45" s="75"/>
      <c r="EN45" s="75"/>
      <c r="EO45" s="75"/>
      <c r="EP45" s="75"/>
      <c r="EQ45" s="75"/>
      <c r="ER45" s="75"/>
      <c r="ES45" s="75"/>
      <c r="ET45" s="75"/>
      <c r="EU45" s="75"/>
      <c r="EV45" s="75"/>
      <c r="EW45" s="75"/>
      <c r="EX45" s="75"/>
      <c r="EY45" s="75"/>
      <c r="EZ45" s="75"/>
      <c r="FA45" s="75"/>
      <c r="FB45" s="75"/>
      <c r="FC45" s="75"/>
      <c r="FD45" s="75"/>
      <c r="FE45" s="75"/>
      <c r="FF45" s="75"/>
      <c r="FG45" s="75"/>
      <c r="FH45" s="75"/>
      <c r="FI45" s="75"/>
      <c r="FJ45" s="75"/>
      <c r="FK45" s="75"/>
      <c r="FL45" s="75"/>
      <c r="FM45" s="75"/>
      <c r="FN45" s="75"/>
      <c r="FO45" s="75"/>
      <c r="FP45" s="75"/>
      <c r="FQ45" s="75"/>
      <c r="FR45" s="75"/>
      <c r="FS45" s="75"/>
      <c r="FT45" s="75"/>
      <c r="FU45" s="75"/>
      <c r="FV45" s="75"/>
      <c r="FW45" s="75"/>
      <c r="FX45" s="75"/>
      <c r="FY45" s="75"/>
      <c r="FZ45" s="75"/>
      <c r="GA45" s="75"/>
      <c r="GB45" s="75"/>
      <c r="GC45" s="75"/>
      <c r="GD45" s="75"/>
      <c r="GE45" s="75"/>
      <c r="GF45" s="75"/>
      <c r="GG45" s="75"/>
    </row>
    <row r="46" spans="1:189">
      <c r="A46" s="48">
        <v>23</v>
      </c>
      <c r="B46" s="49" t="s">
        <v>202</v>
      </c>
      <c r="C46" s="57" t="s">
        <v>11</v>
      </c>
      <c r="D46" s="57"/>
      <c r="E46" s="57"/>
      <c r="F46" s="57"/>
      <c r="G46" s="97">
        <v>358284.31</v>
      </c>
      <c r="H46" s="57"/>
      <c r="I46" s="57"/>
      <c r="J46" s="69">
        <f>SUM(D46:I46)</f>
        <v>358284.31</v>
      </c>
      <c r="K46" s="57"/>
      <c r="L46" s="57"/>
      <c r="M46" s="57"/>
      <c r="N46" s="97">
        <f>N11-N45</f>
        <v>192452.95809086412</v>
      </c>
      <c r="O46" s="57"/>
      <c r="P46" s="57"/>
      <c r="Q46" s="69">
        <f>SUM(K46:P46)</f>
        <v>192452.95809086412</v>
      </c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  <c r="BR46" s="70"/>
      <c r="BS46" s="70"/>
      <c r="BT46" s="70"/>
      <c r="BU46" s="70"/>
      <c r="BV46" s="70"/>
      <c r="BW46" s="70"/>
      <c r="BX46" s="70"/>
      <c r="BY46" s="70"/>
      <c r="BZ46" s="70"/>
      <c r="CA46" s="70"/>
      <c r="CB46" s="70"/>
      <c r="CC46" s="70"/>
      <c r="CD46" s="70"/>
      <c r="CE46" s="70"/>
      <c r="CF46" s="70"/>
      <c r="CG46" s="70"/>
      <c r="CH46" s="70"/>
      <c r="CI46" s="70"/>
      <c r="CJ46" s="70"/>
      <c r="CK46" s="70"/>
      <c r="CL46" s="70"/>
      <c r="CM46" s="70"/>
      <c r="CN46" s="70"/>
      <c r="CO46" s="70"/>
      <c r="CP46" s="70"/>
      <c r="CQ46" s="70"/>
      <c r="CR46" s="70"/>
      <c r="CS46" s="70"/>
      <c r="CT46" s="70"/>
      <c r="CU46" s="70"/>
      <c r="CV46" s="70"/>
      <c r="CW46" s="70"/>
      <c r="CX46" s="70"/>
      <c r="CY46" s="70"/>
      <c r="CZ46" s="70"/>
      <c r="DA46" s="70"/>
      <c r="DB46" s="70"/>
      <c r="DC46" s="70"/>
      <c r="DD46" s="70"/>
      <c r="DE46" s="70"/>
      <c r="DF46" s="70"/>
      <c r="DG46" s="70"/>
      <c r="DH46" s="70"/>
      <c r="DI46" s="70"/>
      <c r="DJ46" s="70"/>
      <c r="DK46" s="70"/>
      <c r="DL46" s="70"/>
      <c r="DM46" s="70"/>
      <c r="DN46" s="70"/>
      <c r="DO46" s="70"/>
      <c r="DP46" s="70"/>
      <c r="DQ46" s="70"/>
      <c r="DR46" s="70"/>
      <c r="DS46" s="70"/>
      <c r="DT46" s="70"/>
      <c r="DU46" s="70"/>
      <c r="DV46" s="70"/>
      <c r="DW46" s="70"/>
      <c r="DX46" s="70"/>
      <c r="DY46" s="70"/>
      <c r="DZ46" s="70"/>
      <c r="EA46" s="70"/>
      <c r="EB46" s="70"/>
      <c r="EC46" s="70"/>
      <c r="ED46" s="70"/>
      <c r="EE46" s="70"/>
      <c r="EF46" s="70"/>
      <c r="EG46" s="70"/>
      <c r="EH46" s="70"/>
      <c r="EI46" s="70"/>
      <c r="EJ46" s="70"/>
      <c r="EK46" s="70"/>
      <c r="EL46" s="70"/>
      <c r="EM46" s="70"/>
      <c r="EN46" s="70"/>
      <c r="EO46" s="70"/>
      <c r="EP46" s="70"/>
      <c r="EQ46" s="70"/>
      <c r="ER46" s="70"/>
      <c r="ES46" s="70"/>
      <c r="ET46" s="70"/>
      <c r="EU46" s="70"/>
      <c r="EV46" s="70"/>
      <c r="EW46" s="70"/>
      <c r="EX46" s="70"/>
      <c r="EY46" s="70"/>
      <c r="EZ46" s="70"/>
      <c r="FA46" s="70"/>
      <c r="FB46" s="70"/>
      <c r="FC46" s="70"/>
      <c r="FD46" s="70"/>
      <c r="FE46" s="70"/>
      <c r="FF46" s="70"/>
      <c r="FG46" s="70"/>
      <c r="FH46" s="70"/>
      <c r="FI46" s="70"/>
      <c r="FJ46" s="70"/>
      <c r="FK46" s="70"/>
      <c r="FL46" s="70"/>
      <c r="FM46" s="70"/>
      <c r="FN46" s="70"/>
      <c r="FO46" s="70"/>
      <c r="FP46" s="70"/>
      <c r="FQ46" s="70"/>
      <c r="FR46" s="70"/>
      <c r="FS46" s="70"/>
      <c r="FT46" s="70"/>
      <c r="FU46" s="70"/>
      <c r="FV46" s="70"/>
      <c r="FW46" s="70"/>
      <c r="FX46" s="70"/>
      <c r="FY46" s="70"/>
      <c r="FZ46" s="70"/>
      <c r="GA46" s="70"/>
      <c r="GB46" s="70"/>
      <c r="GC46" s="70"/>
      <c r="GD46" s="70"/>
      <c r="GE46" s="70"/>
      <c r="GF46" s="70"/>
      <c r="GG46" s="70"/>
    </row>
    <row r="47" spans="1:189">
      <c r="A47" s="48">
        <v>24</v>
      </c>
      <c r="B47" s="49" t="s">
        <v>203</v>
      </c>
      <c r="C47" s="57" t="s">
        <v>11</v>
      </c>
      <c r="D47" s="57"/>
      <c r="E47" s="57"/>
      <c r="F47" s="57"/>
      <c r="G47" s="57">
        <v>38325.382000000005</v>
      </c>
      <c r="H47" s="57"/>
      <c r="I47" s="57"/>
      <c r="J47" s="69">
        <f>SUM(D47:I47)</f>
        <v>38325.382000000005</v>
      </c>
      <c r="K47" s="57"/>
      <c r="L47" s="57"/>
      <c r="M47" s="57"/>
      <c r="N47" s="245">
        <f>N45</f>
        <v>397440</v>
      </c>
      <c r="O47" s="57"/>
      <c r="P47" s="57"/>
      <c r="Q47" s="69">
        <f>SUM(K47:P47)</f>
        <v>397440</v>
      </c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70"/>
      <c r="CQ47" s="70"/>
      <c r="CR47" s="70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0"/>
      <c r="DE47" s="70"/>
      <c r="DF47" s="70"/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0"/>
      <c r="DS47" s="70"/>
      <c r="DT47" s="70"/>
      <c r="DU47" s="70"/>
      <c r="DV47" s="70"/>
      <c r="DW47" s="70"/>
      <c r="DX47" s="70"/>
      <c r="DY47" s="70"/>
      <c r="DZ47" s="70"/>
      <c r="EA47" s="70"/>
      <c r="EB47" s="70"/>
      <c r="EC47" s="70"/>
      <c r="ED47" s="70"/>
      <c r="EE47" s="70"/>
      <c r="EF47" s="70"/>
      <c r="EG47" s="70"/>
      <c r="EH47" s="70"/>
      <c r="EI47" s="70"/>
      <c r="EJ47" s="70"/>
      <c r="EK47" s="70"/>
      <c r="EL47" s="70"/>
      <c r="EM47" s="70"/>
      <c r="EN47" s="70"/>
      <c r="EO47" s="70"/>
      <c r="EP47" s="70"/>
      <c r="EQ47" s="70"/>
      <c r="ER47" s="70"/>
      <c r="ES47" s="70"/>
      <c r="ET47" s="70"/>
      <c r="EU47" s="70"/>
      <c r="EV47" s="70"/>
      <c r="EW47" s="70"/>
      <c r="EX47" s="70"/>
      <c r="EY47" s="70"/>
      <c r="EZ47" s="70"/>
      <c r="FA47" s="70"/>
      <c r="FB47" s="70"/>
      <c r="FC47" s="70"/>
      <c r="FD47" s="70"/>
      <c r="FE47" s="70"/>
      <c r="FF47" s="70"/>
      <c r="FG47" s="70"/>
      <c r="FH47" s="70"/>
      <c r="FI47" s="70"/>
      <c r="FJ47" s="70"/>
      <c r="FK47" s="70"/>
      <c r="FL47" s="70"/>
      <c r="FM47" s="70"/>
      <c r="FN47" s="70"/>
      <c r="FO47" s="70"/>
      <c r="FP47" s="70"/>
      <c r="FQ47" s="70"/>
      <c r="FR47" s="70"/>
      <c r="FS47" s="70"/>
      <c r="FT47" s="70"/>
      <c r="FU47" s="70"/>
      <c r="FV47" s="70"/>
      <c r="FW47" s="70"/>
      <c r="FX47" s="70"/>
      <c r="FY47" s="70"/>
      <c r="FZ47" s="70"/>
      <c r="GA47" s="70"/>
      <c r="GB47" s="70"/>
      <c r="GC47" s="70"/>
      <c r="GD47" s="70"/>
      <c r="GE47" s="70"/>
      <c r="GF47" s="70"/>
      <c r="GG47" s="70"/>
    </row>
    <row r="48" spans="1:189" ht="12.75" thickBot="1">
      <c r="A48" s="58">
        <v>25</v>
      </c>
      <c r="B48" s="105" t="s">
        <v>204</v>
      </c>
      <c r="C48" s="59" t="s">
        <v>11</v>
      </c>
      <c r="D48" s="59"/>
      <c r="E48" s="59"/>
      <c r="F48" s="59"/>
      <c r="G48" s="235">
        <v>1533.5890000000002</v>
      </c>
      <c r="H48" s="59"/>
      <c r="I48" s="59"/>
      <c r="J48" s="98">
        <f>SUM(D48:I48)</f>
        <v>1533.5890000000002</v>
      </c>
      <c r="K48" s="59"/>
      <c r="L48" s="59"/>
      <c r="M48" s="59"/>
      <c r="N48" s="235">
        <f>N46</f>
        <v>192452.95809086412</v>
      </c>
      <c r="O48" s="59"/>
      <c r="P48" s="59"/>
      <c r="Q48" s="98">
        <f>SUM(K48:P48)</f>
        <v>192452.95809086412</v>
      </c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0"/>
      <c r="DE48" s="70"/>
      <c r="DF48" s="70"/>
      <c r="DG48" s="70"/>
      <c r="DH48" s="70"/>
      <c r="DI48" s="70"/>
      <c r="DJ48" s="70"/>
      <c r="DK48" s="70"/>
      <c r="DL48" s="70"/>
      <c r="DM48" s="70"/>
      <c r="DN48" s="70"/>
      <c r="DO48" s="70"/>
      <c r="DP48" s="70"/>
      <c r="DQ48" s="70"/>
      <c r="DR48" s="70"/>
      <c r="DS48" s="70"/>
      <c r="DT48" s="70"/>
      <c r="DU48" s="70"/>
      <c r="DV48" s="70"/>
      <c r="DW48" s="70"/>
      <c r="DX48" s="70"/>
      <c r="DY48" s="70"/>
      <c r="DZ48" s="70"/>
      <c r="EA48" s="70"/>
      <c r="EB48" s="70"/>
      <c r="EC48" s="70"/>
      <c r="ED48" s="70"/>
      <c r="EE48" s="70"/>
      <c r="EF48" s="70"/>
      <c r="EG48" s="70"/>
      <c r="EH48" s="70"/>
      <c r="EI48" s="70"/>
      <c r="EJ48" s="70"/>
      <c r="EK48" s="70"/>
      <c r="EL48" s="70"/>
      <c r="EM48" s="70"/>
      <c r="EN48" s="70"/>
      <c r="EO48" s="70"/>
      <c r="EP48" s="70"/>
      <c r="EQ48" s="70"/>
      <c r="ER48" s="70"/>
      <c r="ES48" s="70"/>
      <c r="ET48" s="70"/>
      <c r="EU48" s="70"/>
      <c r="EV48" s="70"/>
      <c r="EW48" s="70"/>
      <c r="EX48" s="70"/>
      <c r="EY48" s="70"/>
      <c r="EZ48" s="70"/>
      <c r="FA48" s="70"/>
      <c r="FB48" s="70"/>
      <c r="FC48" s="70"/>
      <c r="FD48" s="70"/>
      <c r="FE48" s="70"/>
      <c r="FF48" s="70"/>
      <c r="FG48" s="70"/>
      <c r="FH48" s="70"/>
      <c r="FI48" s="70"/>
      <c r="FJ48" s="70"/>
      <c r="FK48" s="70"/>
      <c r="FL48" s="70"/>
      <c r="FM48" s="70"/>
      <c r="FN48" s="70"/>
      <c r="FO48" s="70"/>
      <c r="FP48" s="70"/>
      <c r="FQ48" s="70"/>
      <c r="FR48" s="70"/>
      <c r="FS48" s="70"/>
      <c r="FT48" s="70"/>
      <c r="FU48" s="70"/>
      <c r="FV48" s="70"/>
      <c r="FW48" s="70"/>
      <c r="FX48" s="70"/>
      <c r="FY48" s="70"/>
      <c r="FZ48" s="70"/>
      <c r="GA48" s="70"/>
      <c r="GB48" s="70"/>
      <c r="GC48" s="70"/>
      <c r="GD48" s="70"/>
      <c r="GE48" s="70"/>
      <c r="GF48" s="70"/>
      <c r="GG48" s="70"/>
    </row>
    <row r="49" spans="1:189" ht="12.75" thickTop="1">
      <c r="A49" s="99"/>
      <c r="B49" s="100"/>
      <c r="C49" s="99"/>
      <c r="D49" s="70"/>
      <c r="E49" s="70"/>
      <c r="F49" s="70"/>
      <c r="G49" s="70"/>
      <c r="H49" s="70"/>
      <c r="I49" s="70"/>
      <c r="J49" s="78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70"/>
      <c r="CQ49" s="70"/>
      <c r="CR49" s="70"/>
      <c r="CS49" s="70"/>
      <c r="CT49" s="70"/>
      <c r="CU49" s="70"/>
      <c r="CV49" s="70"/>
      <c r="CW49" s="70"/>
      <c r="CX49" s="70"/>
      <c r="CY49" s="70"/>
      <c r="CZ49" s="70"/>
      <c r="DA49" s="70"/>
      <c r="DB49" s="70"/>
      <c r="DC49" s="70"/>
      <c r="DD49" s="70"/>
      <c r="DE49" s="70"/>
      <c r="DF49" s="70"/>
      <c r="DG49" s="70"/>
      <c r="DH49" s="70"/>
      <c r="DI49" s="70"/>
      <c r="DJ49" s="70"/>
      <c r="DK49" s="70"/>
      <c r="DL49" s="70"/>
      <c r="DM49" s="70"/>
      <c r="DN49" s="70"/>
      <c r="DO49" s="70"/>
      <c r="DP49" s="70"/>
      <c r="DQ49" s="70"/>
      <c r="DR49" s="70"/>
      <c r="DS49" s="70"/>
      <c r="DT49" s="70"/>
      <c r="DU49" s="70"/>
      <c r="DV49" s="70"/>
      <c r="DW49" s="70"/>
      <c r="DX49" s="70"/>
      <c r="DY49" s="70"/>
      <c r="DZ49" s="70"/>
      <c r="EA49" s="70"/>
      <c r="EB49" s="70"/>
      <c r="EC49" s="70"/>
      <c r="ED49" s="70"/>
      <c r="EE49" s="70"/>
      <c r="EF49" s="70"/>
      <c r="EG49" s="70"/>
      <c r="EH49" s="70"/>
      <c r="EI49" s="70"/>
      <c r="EJ49" s="70"/>
      <c r="EK49" s="70"/>
      <c r="EL49" s="70"/>
      <c r="EM49" s="70"/>
      <c r="EN49" s="70"/>
      <c r="EO49" s="70"/>
      <c r="EP49" s="70"/>
      <c r="EQ49" s="70"/>
      <c r="ER49" s="70"/>
      <c r="ES49" s="70"/>
      <c r="ET49" s="70"/>
      <c r="EU49" s="70"/>
      <c r="EV49" s="70"/>
      <c r="EW49" s="70"/>
      <c r="EX49" s="70"/>
      <c r="EY49" s="70"/>
      <c r="EZ49" s="70"/>
      <c r="FA49" s="70"/>
      <c r="FB49" s="70"/>
      <c r="FC49" s="70"/>
      <c r="FD49" s="70"/>
      <c r="FE49" s="70"/>
      <c r="FF49" s="70"/>
      <c r="FG49" s="70"/>
      <c r="FH49" s="70"/>
      <c r="FI49" s="70"/>
      <c r="FJ49" s="70"/>
      <c r="FK49" s="70"/>
      <c r="FL49" s="70"/>
      <c r="FM49" s="70"/>
      <c r="FN49" s="70"/>
      <c r="FO49" s="70"/>
      <c r="FP49" s="70"/>
      <c r="FQ49" s="70"/>
      <c r="FR49" s="70"/>
      <c r="FS49" s="70"/>
      <c r="FT49" s="70"/>
      <c r="FU49" s="70"/>
      <c r="FV49" s="70"/>
      <c r="FW49" s="70"/>
      <c r="FX49" s="70"/>
      <c r="FY49" s="70"/>
      <c r="FZ49" s="70"/>
      <c r="GA49" s="70"/>
      <c r="GB49" s="70"/>
      <c r="GC49" s="70"/>
      <c r="GD49" s="70"/>
      <c r="GE49" s="70"/>
      <c r="GF49" s="70"/>
      <c r="GG49" s="70"/>
    </row>
    <row r="50" spans="1:189" ht="12.75">
      <c r="A50" s="99"/>
      <c r="B50" s="262" t="s">
        <v>287</v>
      </c>
      <c r="C50" s="99"/>
      <c r="D50" s="70"/>
      <c r="E50" s="70"/>
      <c r="F50" s="70"/>
      <c r="G50" s="70"/>
      <c r="H50" s="70"/>
      <c r="I50" s="263" t="s">
        <v>211</v>
      </c>
      <c r="J50" s="2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0"/>
      <c r="CA50" s="70"/>
      <c r="CB50" s="70"/>
      <c r="CC50" s="70"/>
      <c r="CD50" s="70"/>
      <c r="CE50" s="70"/>
      <c r="CF50" s="70"/>
      <c r="CG50" s="70"/>
      <c r="CH50" s="70"/>
      <c r="CI50" s="70"/>
      <c r="CJ50" s="70"/>
      <c r="CK50" s="70"/>
      <c r="CL50" s="70"/>
      <c r="CM50" s="70"/>
      <c r="CN50" s="70"/>
      <c r="CO50" s="70"/>
      <c r="CP50" s="70"/>
      <c r="CQ50" s="70"/>
      <c r="CR50" s="70"/>
      <c r="CS50" s="70"/>
      <c r="CT50" s="70"/>
      <c r="CU50" s="70"/>
      <c r="CV50" s="70"/>
      <c r="CW50" s="70"/>
      <c r="CX50" s="70"/>
      <c r="CY50" s="70"/>
      <c r="CZ50" s="70"/>
      <c r="DA50" s="70"/>
      <c r="DB50" s="70"/>
      <c r="DC50" s="70"/>
      <c r="DD50" s="70"/>
      <c r="DE50" s="70"/>
      <c r="DF50" s="70"/>
      <c r="DG50" s="70"/>
      <c r="DH50" s="70"/>
      <c r="DI50" s="70"/>
      <c r="DJ50" s="70"/>
      <c r="DK50" s="70"/>
      <c r="DL50" s="70"/>
      <c r="DM50" s="70"/>
      <c r="DN50" s="70"/>
      <c r="DO50" s="70"/>
      <c r="DP50" s="70"/>
      <c r="DQ50" s="70"/>
      <c r="DR50" s="70"/>
      <c r="DS50" s="70"/>
      <c r="DT50" s="70"/>
      <c r="DU50" s="70"/>
      <c r="DV50" s="70"/>
      <c r="DW50" s="70"/>
      <c r="DX50" s="70"/>
      <c r="DY50" s="70"/>
      <c r="DZ50" s="70"/>
      <c r="EA50" s="70"/>
      <c r="EB50" s="70"/>
      <c r="EC50" s="70"/>
      <c r="ED50" s="70"/>
      <c r="EE50" s="70"/>
      <c r="EF50" s="70"/>
      <c r="EG50" s="70"/>
      <c r="EH50" s="70"/>
      <c r="EI50" s="70"/>
      <c r="EJ50" s="70"/>
      <c r="EK50" s="70"/>
      <c r="EL50" s="70"/>
      <c r="EM50" s="70"/>
      <c r="EN50" s="70"/>
      <c r="EO50" s="70"/>
      <c r="EP50" s="70"/>
      <c r="EQ50" s="70"/>
      <c r="ER50" s="70"/>
      <c r="ES50" s="70"/>
      <c r="ET50" s="70"/>
      <c r="EU50" s="70"/>
      <c r="EV50" s="70"/>
      <c r="EW50" s="70"/>
      <c r="EX50" s="70"/>
      <c r="EY50" s="70"/>
      <c r="EZ50" s="70"/>
      <c r="FA50" s="70"/>
      <c r="FB50" s="70"/>
      <c r="FC50" s="70"/>
      <c r="FD50" s="70"/>
      <c r="FE50" s="70"/>
      <c r="FF50" s="70"/>
      <c r="FG50" s="70"/>
      <c r="FH50" s="70"/>
      <c r="FI50" s="70"/>
      <c r="FJ50" s="70"/>
      <c r="FK50" s="70"/>
      <c r="FL50" s="70"/>
      <c r="FM50" s="70"/>
      <c r="FN50" s="70"/>
      <c r="FO50" s="70"/>
      <c r="FP50" s="70"/>
      <c r="FQ50" s="70"/>
      <c r="FR50" s="70"/>
      <c r="FS50" s="70"/>
      <c r="FT50" s="70"/>
      <c r="FU50" s="70"/>
      <c r="FV50" s="70"/>
      <c r="FW50" s="70"/>
      <c r="FX50" s="70"/>
      <c r="FY50" s="70"/>
      <c r="FZ50" s="70"/>
      <c r="GA50" s="70"/>
      <c r="GB50" s="70"/>
      <c r="GC50" s="70"/>
      <c r="GD50" s="70"/>
      <c r="GE50" s="70"/>
      <c r="GF50" s="70"/>
      <c r="GG50" s="70"/>
    </row>
    <row r="51" spans="1:189" ht="12.75">
      <c r="A51" s="56"/>
      <c r="B51" s="261" t="s">
        <v>288</v>
      </c>
      <c r="C51" s="56"/>
      <c r="H51" s="272" t="s">
        <v>286</v>
      </c>
      <c r="I51" s="272"/>
      <c r="J51" s="272"/>
      <c r="K51" s="272"/>
      <c r="L51" s="272"/>
    </row>
    <row r="52" spans="1:189" s="102" customFormat="1" ht="12.75">
      <c r="A52" s="1"/>
      <c r="B52" s="2"/>
      <c r="C52" s="2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  <c r="CO52" s="101"/>
      <c r="CP52" s="101"/>
      <c r="CQ52" s="101"/>
      <c r="CR52" s="101"/>
      <c r="CS52" s="101"/>
      <c r="CT52" s="101"/>
      <c r="CU52" s="101"/>
      <c r="CV52" s="101"/>
      <c r="CW52" s="101"/>
      <c r="CX52" s="101"/>
      <c r="CY52" s="101"/>
      <c r="CZ52" s="101"/>
      <c r="DA52" s="101"/>
      <c r="DB52" s="101"/>
      <c r="DC52" s="101"/>
      <c r="DD52" s="101"/>
      <c r="DE52" s="101"/>
      <c r="DF52" s="101"/>
      <c r="DG52" s="101"/>
      <c r="DH52" s="101"/>
      <c r="DI52" s="101"/>
      <c r="DJ52" s="101"/>
      <c r="DK52" s="101"/>
      <c r="DL52" s="101"/>
      <c r="DM52" s="101"/>
      <c r="DN52" s="101"/>
      <c r="DO52" s="101"/>
      <c r="DP52" s="101"/>
      <c r="DQ52" s="101"/>
      <c r="DR52" s="101"/>
      <c r="DS52" s="101"/>
      <c r="DT52" s="101"/>
      <c r="DU52" s="101"/>
      <c r="DV52" s="101"/>
      <c r="DW52" s="101"/>
      <c r="DX52" s="101"/>
      <c r="DY52" s="101"/>
      <c r="DZ52" s="101"/>
      <c r="EA52" s="101"/>
      <c r="EB52" s="101"/>
      <c r="EC52" s="101"/>
      <c r="ED52" s="101"/>
      <c r="EE52" s="101"/>
      <c r="EF52" s="101"/>
      <c r="EG52" s="101"/>
      <c r="EH52" s="101"/>
      <c r="EI52" s="101"/>
      <c r="EJ52" s="101"/>
      <c r="EK52" s="101"/>
      <c r="EL52" s="101"/>
      <c r="EM52" s="101"/>
      <c r="EN52" s="101"/>
      <c r="EO52" s="101"/>
      <c r="EP52" s="101"/>
      <c r="EQ52" s="101"/>
      <c r="ER52" s="101"/>
      <c r="ES52" s="101"/>
      <c r="ET52" s="101"/>
      <c r="EU52" s="101"/>
      <c r="EV52" s="101"/>
      <c r="EW52" s="101"/>
      <c r="EX52" s="101"/>
      <c r="EY52" s="101"/>
      <c r="EZ52" s="101"/>
      <c r="FA52" s="101"/>
      <c r="FB52" s="101"/>
      <c r="FC52" s="101"/>
      <c r="FD52" s="101"/>
      <c r="FE52" s="101"/>
      <c r="FF52" s="101"/>
      <c r="FG52" s="101"/>
      <c r="FH52" s="101"/>
      <c r="FI52" s="101"/>
      <c r="FJ52" s="101"/>
      <c r="FK52" s="101"/>
      <c r="FL52" s="101"/>
      <c r="FM52" s="101"/>
      <c r="FN52" s="101"/>
      <c r="FO52" s="101"/>
      <c r="FP52" s="101"/>
      <c r="FQ52" s="101"/>
      <c r="FR52" s="101"/>
      <c r="FS52" s="101"/>
      <c r="FT52" s="101"/>
      <c r="FU52" s="101"/>
      <c r="FV52" s="101"/>
      <c r="FW52" s="101"/>
      <c r="FX52" s="101"/>
      <c r="FY52" s="101"/>
      <c r="FZ52" s="101"/>
      <c r="GA52" s="101"/>
      <c r="GB52" s="101"/>
      <c r="GC52" s="101"/>
      <c r="GD52" s="101"/>
      <c r="GE52" s="101"/>
      <c r="GF52" s="101"/>
      <c r="GG52" s="101"/>
    </row>
    <row r="53" spans="1:189">
      <c r="A53" s="56"/>
      <c r="B53" s="56"/>
      <c r="C53" s="56"/>
    </row>
    <row r="54" spans="1:189">
      <c r="A54" s="56"/>
      <c r="B54" s="103"/>
      <c r="C54" s="56"/>
    </row>
    <row r="55" spans="1:189">
      <c r="A55" s="56"/>
      <c r="B55" s="56"/>
      <c r="C55" s="56"/>
    </row>
    <row r="56" spans="1:189">
      <c r="A56" s="56"/>
      <c r="B56" s="56"/>
      <c r="C56" s="56"/>
    </row>
    <row r="57" spans="1:189">
      <c r="A57" s="56"/>
      <c r="B57" s="56"/>
      <c r="C57" s="56"/>
    </row>
    <row r="58" spans="1:189">
      <c r="A58" s="56"/>
      <c r="B58" s="56"/>
      <c r="C58" s="56"/>
    </row>
    <row r="59" spans="1:189">
      <c r="A59" s="56"/>
      <c r="B59" s="56"/>
      <c r="C59" s="56"/>
    </row>
    <row r="60" spans="1:189">
      <c r="A60" s="56"/>
      <c r="B60" s="56"/>
      <c r="C60" s="56"/>
    </row>
  </sheetData>
  <mergeCells count="9">
    <mergeCell ref="H51:L51"/>
    <mergeCell ref="A1:N1"/>
    <mergeCell ref="A2:N2"/>
    <mergeCell ref="A3:N3"/>
    <mergeCell ref="D5:J5"/>
    <mergeCell ref="A5:A6"/>
    <mergeCell ref="B5:B6"/>
    <mergeCell ref="C5:C6"/>
    <mergeCell ref="K5:Q5"/>
  </mergeCells>
  <phoneticPr fontId="0" type="noConversion"/>
  <pageMargins left="0.25" right="0.2" top="0.51" bottom="0.28000000000000003" header="0.5" footer="0.28000000000000003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82"/>
  <sheetViews>
    <sheetView workbookViewId="0">
      <selection activeCell="A70" sqref="A70:H72"/>
    </sheetView>
  </sheetViews>
  <sheetFormatPr defaultColWidth="0" defaultRowHeight="12" zeroHeight="1"/>
  <cols>
    <col min="1" max="1" width="5.5703125" style="141" customWidth="1"/>
    <col min="2" max="2" width="38.28515625" style="141" customWidth="1"/>
    <col min="3" max="3" width="9.7109375" style="141" bestFit="1" customWidth="1"/>
    <col min="4" max="4" width="11.42578125" style="142" customWidth="1"/>
    <col min="5" max="5" width="12.7109375" style="142" customWidth="1"/>
    <col min="6" max="6" width="11.5703125" style="141" customWidth="1"/>
    <col min="7" max="16384" width="0" style="141" hidden="1"/>
  </cols>
  <sheetData>
    <row r="1" spans="1:6">
      <c r="A1" s="289" t="s">
        <v>40</v>
      </c>
      <c r="B1" s="289"/>
      <c r="C1" s="289"/>
      <c r="D1" s="290"/>
      <c r="E1" s="290"/>
    </row>
    <row r="2" spans="1:6" ht="12.75" customHeight="1"/>
    <row r="3" spans="1:6" ht="12.75" customHeight="1">
      <c r="A3" s="291" t="s">
        <v>41</v>
      </c>
      <c r="B3" s="291"/>
      <c r="C3" s="291"/>
      <c r="D3" s="292"/>
      <c r="E3" s="292"/>
    </row>
    <row r="4" spans="1:6" ht="12.75" customHeight="1">
      <c r="A4" s="291" t="str">
        <f>ТП!A3</f>
        <v>НА "Топлофикация Русе" АД, кондензационен блок №4</v>
      </c>
      <c r="B4" s="291"/>
      <c r="C4" s="291"/>
      <c r="D4" s="292"/>
      <c r="E4" s="292"/>
    </row>
    <row r="5" spans="1:6" ht="12.75" customHeight="1">
      <c r="A5" s="143"/>
      <c r="B5" s="143"/>
      <c r="C5" s="143"/>
      <c r="D5" s="143"/>
      <c r="E5" s="143"/>
    </row>
    <row r="6" spans="1:6" ht="12.75" customHeight="1" thickBot="1">
      <c r="A6" s="143"/>
      <c r="B6" s="143"/>
      <c r="C6" s="143"/>
    </row>
    <row r="7" spans="1:6" ht="12.75" customHeight="1" thickTop="1">
      <c r="A7" s="293" t="s">
        <v>2</v>
      </c>
      <c r="B7" s="296" t="s">
        <v>167</v>
      </c>
      <c r="C7" s="296" t="s">
        <v>4</v>
      </c>
      <c r="D7" s="299" t="s">
        <v>271</v>
      </c>
      <c r="E7" s="301" t="s">
        <v>277</v>
      </c>
      <c r="F7" s="144"/>
    </row>
    <row r="8" spans="1:6" ht="12.75" customHeight="1">
      <c r="A8" s="294"/>
      <c r="B8" s="297"/>
      <c r="C8" s="297"/>
      <c r="D8" s="300"/>
      <c r="E8" s="302"/>
      <c r="F8" s="145"/>
    </row>
    <row r="9" spans="1:6" ht="25.5" customHeight="1">
      <c r="A9" s="295"/>
      <c r="B9" s="298"/>
      <c r="C9" s="298"/>
      <c r="D9" s="300"/>
      <c r="E9" s="302"/>
      <c r="F9" s="145"/>
    </row>
    <row r="10" spans="1:6" ht="12.75" customHeight="1">
      <c r="A10" s="146">
        <v>1</v>
      </c>
      <c r="B10" s="147">
        <v>2</v>
      </c>
      <c r="C10" s="147">
        <v>3</v>
      </c>
      <c r="D10" s="147">
        <v>4</v>
      </c>
      <c r="E10" s="148">
        <v>5</v>
      </c>
      <c r="F10" s="149"/>
    </row>
    <row r="11" spans="1:6">
      <c r="A11" s="150" t="s">
        <v>42</v>
      </c>
      <c r="B11" s="151" t="s">
        <v>43</v>
      </c>
      <c r="C11" s="152" t="s">
        <v>44</v>
      </c>
      <c r="D11" s="153">
        <f>D12+D13+D16+D17+D21</f>
        <v>1394.6422610000002</v>
      </c>
      <c r="E11" s="154">
        <f>E12+E13+E16+E17+E21</f>
        <v>3111.9094813500001</v>
      </c>
      <c r="F11" s="155"/>
    </row>
    <row r="12" spans="1:6" ht="12.75" customHeight="1">
      <c r="A12" s="156" t="s">
        <v>45</v>
      </c>
      <c r="B12" s="157" t="s">
        <v>46</v>
      </c>
      <c r="C12" s="152" t="s">
        <v>44</v>
      </c>
      <c r="D12" s="158">
        <v>60</v>
      </c>
      <c r="E12" s="195">
        <v>75.599999999999994</v>
      </c>
      <c r="F12" s="155"/>
    </row>
    <row r="13" spans="1:6" ht="31.5" customHeight="1">
      <c r="A13" s="156" t="s">
        <v>47</v>
      </c>
      <c r="B13" s="157" t="s">
        <v>48</v>
      </c>
      <c r="C13" s="152" t="s">
        <v>44</v>
      </c>
      <c r="D13" s="153">
        <f>D14+D15</f>
        <v>15.702146000000001</v>
      </c>
      <c r="E13" s="154">
        <f>E14+E15</f>
        <v>19.672360599999998</v>
      </c>
      <c r="F13" s="155"/>
    </row>
    <row r="14" spans="1:6" ht="12.75" customHeight="1">
      <c r="A14" s="159" t="s">
        <v>49</v>
      </c>
      <c r="B14" s="160" t="s">
        <v>50</v>
      </c>
      <c r="C14" s="161" t="s">
        <v>44</v>
      </c>
      <c r="D14" s="196">
        <f>D12*25%</f>
        <v>15</v>
      </c>
      <c r="E14" s="196">
        <v>18.899999999999999</v>
      </c>
      <c r="F14" s="155"/>
    </row>
    <row r="15" spans="1:6" ht="12.75" customHeight="1">
      <c r="A15" s="159" t="s">
        <v>51</v>
      </c>
      <c r="B15" s="160" t="s">
        <v>52</v>
      </c>
      <c r="C15" s="161" t="s">
        <v>44</v>
      </c>
      <c r="D15" s="162">
        <v>0.70214600000000005</v>
      </c>
      <c r="E15" s="196">
        <v>0.77236060000000006</v>
      </c>
      <c r="F15" s="155"/>
    </row>
    <row r="16" spans="1:6" ht="18" customHeight="1">
      <c r="A16" s="156">
        <v>3</v>
      </c>
      <c r="B16" s="157" t="s">
        <v>207</v>
      </c>
      <c r="C16" s="152" t="s">
        <v>44</v>
      </c>
      <c r="D16" s="162">
        <v>1210</v>
      </c>
      <c r="E16" s="196">
        <v>1401</v>
      </c>
      <c r="F16" s="155"/>
    </row>
    <row r="17" spans="1:6" ht="12.75" customHeight="1">
      <c r="A17" s="156" t="s">
        <v>53</v>
      </c>
      <c r="B17" s="157" t="s">
        <v>157</v>
      </c>
      <c r="C17" s="152" t="s">
        <v>44</v>
      </c>
      <c r="D17" s="163">
        <f>D18+D19+D20</f>
        <v>0</v>
      </c>
      <c r="E17" s="163">
        <f>E18+E19+E20</f>
        <v>1500</v>
      </c>
      <c r="F17" s="155"/>
    </row>
    <row r="18" spans="1:6" ht="30" customHeight="1">
      <c r="A18" s="156" t="s">
        <v>236</v>
      </c>
      <c r="B18" s="160" t="s">
        <v>239</v>
      </c>
      <c r="C18" s="161" t="s">
        <v>44</v>
      </c>
      <c r="D18" s="158"/>
      <c r="E18" s="195">
        <v>1200</v>
      </c>
      <c r="F18" s="155"/>
    </row>
    <row r="19" spans="1:6" ht="31.5" customHeight="1">
      <c r="A19" s="156" t="s">
        <v>237</v>
      </c>
      <c r="B19" s="160" t="s">
        <v>235</v>
      </c>
      <c r="C19" s="161" t="s">
        <v>44</v>
      </c>
      <c r="D19" s="158"/>
      <c r="E19" s="195"/>
      <c r="F19" s="155"/>
    </row>
    <row r="20" spans="1:6" ht="30" customHeight="1">
      <c r="A20" s="156" t="s">
        <v>238</v>
      </c>
      <c r="B20" s="160" t="s">
        <v>240</v>
      </c>
      <c r="C20" s="161" t="s">
        <v>44</v>
      </c>
      <c r="D20" s="158"/>
      <c r="E20" s="195">
        <v>300</v>
      </c>
      <c r="F20" s="155"/>
    </row>
    <row r="21" spans="1:6" ht="24">
      <c r="A21" s="156" t="s">
        <v>54</v>
      </c>
      <c r="B21" s="164" t="s">
        <v>55</v>
      </c>
      <c r="C21" s="152" t="s">
        <v>44</v>
      </c>
      <c r="D21" s="153">
        <f>SUM(D22:D51)</f>
        <v>108.94011500000001</v>
      </c>
      <c r="E21" s="154">
        <f>SUM(E22:E51)</f>
        <v>115.63712075000001</v>
      </c>
      <c r="F21" s="155"/>
    </row>
    <row r="22" spans="1:6" ht="12.75" customHeight="1">
      <c r="A22" s="165" t="s">
        <v>56</v>
      </c>
      <c r="B22" s="160" t="s">
        <v>57</v>
      </c>
      <c r="C22" s="161" t="s">
        <v>44</v>
      </c>
      <c r="D22" s="162">
        <v>12</v>
      </c>
      <c r="E22" s="196">
        <v>12.600000000000001</v>
      </c>
      <c r="F22" s="155"/>
    </row>
    <row r="23" spans="1:6" ht="12.75" customHeight="1">
      <c r="A23" s="165" t="s">
        <v>58</v>
      </c>
      <c r="B23" s="160" t="s">
        <v>59</v>
      </c>
      <c r="C23" s="161" t="s">
        <v>44</v>
      </c>
      <c r="D23" s="162">
        <v>1.5040910000000001</v>
      </c>
      <c r="E23" s="196">
        <v>1.5792955500000001</v>
      </c>
      <c r="F23" s="155"/>
    </row>
    <row r="24" spans="1:6" ht="12.75" customHeight="1">
      <c r="A24" s="165" t="s">
        <v>60</v>
      </c>
      <c r="B24" s="160" t="s">
        <v>61</v>
      </c>
      <c r="C24" s="161" t="s">
        <v>44</v>
      </c>
      <c r="D24" s="162">
        <v>1.7000000000000002</v>
      </c>
      <c r="E24" s="196">
        <v>1.7850000000000004</v>
      </c>
      <c r="F24" s="155"/>
    </row>
    <row r="25" spans="1:6" ht="12.75" customHeight="1">
      <c r="A25" s="165" t="s">
        <v>62</v>
      </c>
      <c r="B25" s="160" t="s">
        <v>63</v>
      </c>
      <c r="C25" s="161" t="s">
        <v>44</v>
      </c>
      <c r="D25" s="162">
        <v>19</v>
      </c>
      <c r="E25" s="196">
        <v>19.95</v>
      </c>
      <c r="F25" s="155"/>
    </row>
    <row r="26" spans="1:6" ht="12.75" customHeight="1">
      <c r="A26" s="165" t="s">
        <v>64</v>
      </c>
      <c r="B26" s="160" t="s">
        <v>65</v>
      </c>
      <c r="C26" s="161" t="s">
        <v>44</v>
      </c>
      <c r="D26" s="162">
        <v>8.5</v>
      </c>
      <c r="E26" s="196">
        <v>8.9250000000000007</v>
      </c>
      <c r="F26" s="155"/>
    </row>
    <row r="27" spans="1:6" ht="12.75" customHeight="1">
      <c r="A27" s="165" t="s">
        <v>66</v>
      </c>
      <c r="B27" s="160" t="s">
        <v>67</v>
      </c>
      <c r="C27" s="161" t="s">
        <v>44</v>
      </c>
      <c r="D27" s="162">
        <v>21</v>
      </c>
      <c r="E27" s="196">
        <v>22.05</v>
      </c>
      <c r="F27" s="155"/>
    </row>
    <row r="28" spans="1:6" ht="12.75" customHeight="1">
      <c r="A28" s="165" t="s">
        <v>68</v>
      </c>
      <c r="B28" s="160" t="s">
        <v>69</v>
      </c>
      <c r="C28" s="161" t="s">
        <v>44</v>
      </c>
      <c r="D28" s="162">
        <v>2.4744140000000003</v>
      </c>
      <c r="E28" s="196">
        <v>2.5981347000000006</v>
      </c>
      <c r="F28" s="155"/>
    </row>
    <row r="29" spans="1:6" ht="12.75" customHeight="1">
      <c r="A29" s="165" t="s">
        <v>70</v>
      </c>
      <c r="B29" s="160" t="s">
        <v>71</v>
      </c>
      <c r="C29" s="161" t="s">
        <v>44</v>
      </c>
      <c r="D29" s="162">
        <v>16.399888000000001</v>
      </c>
      <c r="E29" s="196">
        <v>17.219882400000003</v>
      </c>
      <c r="F29" s="155"/>
    </row>
    <row r="30" spans="1:6" ht="12.75" customHeight="1">
      <c r="A30" s="165" t="s">
        <v>72</v>
      </c>
      <c r="B30" s="160" t="s">
        <v>73</v>
      </c>
      <c r="C30" s="161" t="s">
        <v>44</v>
      </c>
      <c r="D30" s="162"/>
      <c r="E30" s="196">
        <v>0</v>
      </c>
      <c r="F30" s="155"/>
    </row>
    <row r="31" spans="1:6" ht="12.75" customHeight="1">
      <c r="A31" s="165" t="s">
        <v>74</v>
      </c>
      <c r="B31" s="160" t="s">
        <v>75</v>
      </c>
      <c r="C31" s="161" t="s">
        <v>44</v>
      </c>
      <c r="D31" s="162"/>
      <c r="E31" s="196">
        <v>0</v>
      </c>
      <c r="F31" s="155"/>
    </row>
    <row r="32" spans="1:6" ht="12.75" customHeight="1">
      <c r="A32" s="165" t="s">
        <v>76</v>
      </c>
      <c r="B32" s="160" t="s">
        <v>77</v>
      </c>
      <c r="C32" s="161" t="s">
        <v>44</v>
      </c>
      <c r="D32" s="162">
        <v>4.3892300000000004</v>
      </c>
      <c r="E32" s="196">
        <v>4.6086915000000008</v>
      </c>
      <c r="F32" s="155"/>
    </row>
    <row r="33" spans="1:6" ht="12.75" customHeight="1">
      <c r="A33" s="165" t="s">
        <v>78</v>
      </c>
      <c r="B33" s="160" t="s">
        <v>79</v>
      </c>
      <c r="C33" s="161" t="s">
        <v>44</v>
      </c>
      <c r="D33" s="162">
        <v>2.9724919999999999</v>
      </c>
      <c r="E33" s="196">
        <v>3.1211166000000001</v>
      </c>
      <c r="F33" s="155"/>
    </row>
    <row r="34" spans="1:6" ht="12.75" customHeight="1">
      <c r="A34" s="165" t="s">
        <v>80</v>
      </c>
      <c r="B34" s="160" t="s">
        <v>81</v>
      </c>
      <c r="C34" s="161" t="s">
        <v>44</v>
      </c>
      <c r="D34" s="162">
        <v>7</v>
      </c>
      <c r="E34" s="196">
        <v>8</v>
      </c>
      <c r="F34" s="155"/>
    </row>
    <row r="35" spans="1:6" ht="12.75" customHeight="1">
      <c r="A35" s="165" t="s">
        <v>82</v>
      </c>
      <c r="B35" s="160" t="s">
        <v>83</v>
      </c>
      <c r="C35" s="161" t="s">
        <v>44</v>
      </c>
      <c r="D35" s="162"/>
      <c r="E35" s="196">
        <v>0</v>
      </c>
      <c r="F35" s="155"/>
    </row>
    <row r="36" spans="1:6" ht="12.75" customHeight="1">
      <c r="A36" s="165" t="s">
        <v>84</v>
      </c>
      <c r="B36" s="160" t="s">
        <v>85</v>
      </c>
      <c r="C36" s="161" t="s">
        <v>44</v>
      </c>
      <c r="D36" s="162">
        <v>4</v>
      </c>
      <c r="E36" s="196">
        <v>4.2</v>
      </c>
      <c r="F36" s="155"/>
    </row>
    <row r="37" spans="1:6" ht="12.75" customHeight="1">
      <c r="A37" s="165" t="s">
        <v>86</v>
      </c>
      <c r="B37" s="160" t="s">
        <v>87</v>
      </c>
      <c r="C37" s="161" t="s">
        <v>44</v>
      </c>
      <c r="D37" s="162"/>
      <c r="E37" s="196">
        <v>0</v>
      </c>
      <c r="F37" s="155"/>
    </row>
    <row r="38" spans="1:6" ht="28.5" customHeight="1">
      <c r="A38" s="165" t="s">
        <v>88</v>
      </c>
      <c r="B38" s="160" t="s">
        <v>89</v>
      </c>
      <c r="C38" s="161" t="s">
        <v>44</v>
      </c>
      <c r="D38" s="162"/>
      <c r="E38" s="196"/>
      <c r="F38" s="155"/>
    </row>
    <row r="39" spans="1:6" ht="12.75" customHeight="1">
      <c r="A39" s="165" t="s">
        <v>90</v>
      </c>
      <c r="B39" s="160" t="s">
        <v>91</v>
      </c>
      <c r="C39" s="161" t="s">
        <v>44</v>
      </c>
      <c r="D39" s="162">
        <v>8</v>
      </c>
      <c r="E39" s="196">
        <v>9</v>
      </c>
      <c r="F39" s="155"/>
    </row>
    <row r="40" spans="1:6" ht="12.75" customHeight="1">
      <c r="A40" s="165" t="s">
        <v>92</v>
      </c>
      <c r="B40" s="160" t="s">
        <v>93</v>
      </c>
      <c r="C40" s="161" t="s">
        <v>44</v>
      </c>
      <c r="D40" s="162"/>
      <c r="E40" s="196"/>
      <c r="F40" s="155"/>
    </row>
    <row r="41" spans="1:6" ht="12.75" customHeight="1">
      <c r="A41" s="165" t="s">
        <v>94</v>
      </c>
      <c r="B41" s="160" t="s">
        <v>95</v>
      </c>
      <c r="C41" s="161" t="s">
        <v>44</v>
      </c>
      <c r="D41" s="162"/>
      <c r="E41" s="196"/>
      <c r="F41" s="155"/>
    </row>
    <row r="42" spans="1:6" ht="27.75" hidden="1" customHeight="1">
      <c r="A42" s="165" t="s">
        <v>96</v>
      </c>
      <c r="B42" s="160"/>
      <c r="C42" s="161" t="s">
        <v>44</v>
      </c>
      <c r="D42" s="162"/>
      <c r="E42" s="196"/>
      <c r="F42" s="155"/>
    </row>
    <row r="43" spans="1:6" ht="12.75" hidden="1" customHeight="1">
      <c r="A43" s="165" t="s">
        <v>97</v>
      </c>
      <c r="B43" s="160"/>
      <c r="C43" s="161" t="s">
        <v>44</v>
      </c>
      <c r="D43" s="162"/>
      <c r="E43" s="196"/>
      <c r="F43" s="155"/>
    </row>
    <row r="44" spans="1:6" ht="14.25" hidden="1" customHeight="1">
      <c r="A44" s="166" t="s">
        <v>98</v>
      </c>
      <c r="B44" s="160"/>
      <c r="C44" s="161" t="s">
        <v>44</v>
      </c>
      <c r="D44" s="162"/>
      <c r="E44" s="196"/>
      <c r="F44" s="155"/>
    </row>
    <row r="45" spans="1:6" ht="14.25" hidden="1" customHeight="1">
      <c r="A45" s="166" t="s">
        <v>99</v>
      </c>
      <c r="B45" s="160"/>
      <c r="C45" s="161" t="s">
        <v>44</v>
      </c>
      <c r="D45" s="162"/>
      <c r="E45" s="196"/>
      <c r="F45" s="155"/>
    </row>
    <row r="46" spans="1:6" ht="14.25" hidden="1" customHeight="1">
      <c r="A46" s="166" t="s">
        <v>151</v>
      </c>
      <c r="B46" s="160"/>
      <c r="C46" s="161" t="s">
        <v>44</v>
      </c>
      <c r="D46" s="162"/>
      <c r="E46" s="196"/>
      <c r="F46" s="155"/>
    </row>
    <row r="47" spans="1:6" ht="14.25" hidden="1" customHeight="1">
      <c r="A47" s="166" t="s">
        <v>152</v>
      </c>
      <c r="B47" s="160"/>
      <c r="C47" s="161" t="s">
        <v>44</v>
      </c>
      <c r="D47" s="162"/>
      <c r="E47" s="196"/>
      <c r="F47" s="155"/>
    </row>
    <row r="48" spans="1:6" ht="14.25" hidden="1" customHeight="1">
      <c r="A48" s="166" t="s">
        <v>153</v>
      </c>
      <c r="B48" s="160"/>
      <c r="C48" s="161" t="s">
        <v>44</v>
      </c>
      <c r="D48" s="162"/>
      <c r="E48" s="196"/>
      <c r="F48" s="155"/>
    </row>
    <row r="49" spans="1:6" ht="14.25" hidden="1" customHeight="1">
      <c r="A49" s="166" t="s">
        <v>154</v>
      </c>
      <c r="B49" s="160"/>
      <c r="C49" s="161" t="s">
        <v>44</v>
      </c>
      <c r="D49" s="162"/>
      <c r="E49" s="196"/>
      <c r="F49" s="155"/>
    </row>
    <row r="50" spans="1:6" ht="14.25" hidden="1" customHeight="1">
      <c r="A50" s="166" t="s">
        <v>155</v>
      </c>
      <c r="B50" s="160"/>
      <c r="C50" s="161" t="s">
        <v>44</v>
      </c>
      <c r="D50" s="162"/>
      <c r="E50" s="196"/>
      <c r="F50" s="155"/>
    </row>
    <row r="51" spans="1:6" ht="14.25" customHeight="1">
      <c r="A51" s="166" t="s">
        <v>156</v>
      </c>
      <c r="B51" s="160"/>
      <c r="C51" s="161" t="s">
        <v>44</v>
      </c>
      <c r="D51" s="162"/>
      <c r="E51" s="196"/>
      <c r="F51" s="155"/>
    </row>
    <row r="52" spans="1:6" s="168" customFormat="1" ht="28.5" customHeight="1">
      <c r="A52" s="167">
        <v>6</v>
      </c>
      <c r="B52" s="157" t="s">
        <v>166</v>
      </c>
      <c r="C52" s="152" t="s">
        <v>44</v>
      </c>
      <c r="D52" s="158"/>
      <c r="E52" s="195"/>
      <c r="F52" s="155"/>
    </row>
    <row r="53" spans="1:6">
      <c r="A53" s="169" t="s">
        <v>100</v>
      </c>
      <c r="B53" s="170" t="s">
        <v>101</v>
      </c>
      <c r="C53" s="152" t="s">
        <v>44</v>
      </c>
      <c r="D53" s="153">
        <f>D54+D61+D62+D67</f>
        <v>5496.6524627157241</v>
      </c>
      <c r="E53" s="154">
        <f>E54+E61+E62+E67</f>
        <v>116699.56805895665</v>
      </c>
      <c r="F53" s="155"/>
    </row>
    <row r="54" spans="1:6">
      <c r="A54" s="171">
        <v>1</v>
      </c>
      <c r="B54" s="172" t="s">
        <v>241</v>
      </c>
      <c r="C54" s="152" t="s">
        <v>44</v>
      </c>
      <c r="D54" s="153">
        <f>D55+D58</f>
        <v>5484.6291007157242</v>
      </c>
      <c r="E54" s="154">
        <f>E55+E58</f>
        <v>75369.508860712231</v>
      </c>
      <c r="F54" s="173"/>
    </row>
    <row r="55" spans="1:6">
      <c r="A55" s="174"/>
      <c r="B55" s="175" t="s">
        <v>102</v>
      </c>
      <c r="C55" s="161" t="s">
        <v>44</v>
      </c>
      <c r="D55" s="176">
        <f>D56+D57</f>
        <v>1229.197187718936</v>
      </c>
      <c r="E55" s="197">
        <f>E56+E57</f>
        <v>29596.550403437024</v>
      </c>
      <c r="F55" s="155"/>
    </row>
    <row r="56" spans="1:6">
      <c r="A56" s="174"/>
      <c r="B56" s="106" t="s">
        <v>179</v>
      </c>
      <c r="C56" s="161" t="s">
        <v>44</v>
      </c>
      <c r="D56" s="243">
        <f>ТП!J14*ТП!J25/1000</f>
        <v>1229.197187718936</v>
      </c>
      <c r="E56" s="244">
        <f>ТП!Q14*ТП!Q25/1000</f>
        <v>0</v>
      </c>
      <c r="F56" s="155"/>
    </row>
    <row r="57" spans="1:6">
      <c r="A57" s="174"/>
      <c r="B57" s="106" t="s">
        <v>180</v>
      </c>
      <c r="C57" s="161" t="s">
        <v>44</v>
      </c>
      <c r="D57" s="243">
        <f>ТП!J15*ТП!J26/1000</f>
        <v>0</v>
      </c>
      <c r="E57" s="244">
        <f>ТП!Q15*ТП!Q26/1000</f>
        <v>29596.550403437024</v>
      </c>
      <c r="F57" s="177"/>
    </row>
    <row r="58" spans="1:6">
      <c r="A58" s="174"/>
      <c r="B58" s="175" t="s">
        <v>103</v>
      </c>
      <c r="C58" s="161" t="s">
        <v>44</v>
      </c>
      <c r="D58" s="243">
        <f>D59+D60</f>
        <v>4255.431912996788</v>
      </c>
      <c r="E58" s="244">
        <f>E59+E60</f>
        <v>45772.958457275206</v>
      </c>
      <c r="F58" s="155"/>
    </row>
    <row r="59" spans="1:6">
      <c r="A59" s="174"/>
      <c r="B59" s="175" t="s">
        <v>20</v>
      </c>
      <c r="C59" s="161" t="s">
        <v>44</v>
      </c>
      <c r="D59" s="243">
        <f>ТП!J17*ТП!J27/1000</f>
        <v>1459.7912515091305</v>
      </c>
      <c r="E59" s="244">
        <f>ТП!Q17*ТП!Q27/1000</f>
        <v>0</v>
      </c>
      <c r="F59" s="155"/>
    </row>
    <row r="60" spans="1:6">
      <c r="A60" s="174"/>
      <c r="B60" s="175" t="s">
        <v>181</v>
      </c>
      <c r="C60" s="161" t="s">
        <v>44</v>
      </c>
      <c r="D60" s="243">
        <f>ТП!J18*ТП!J28/1000</f>
        <v>2795.6406614876578</v>
      </c>
      <c r="E60" s="244">
        <f>ТП!Q18*ТП!Q28/1000</f>
        <v>45772.958457275206</v>
      </c>
      <c r="F60" s="155"/>
    </row>
    <row r="61" spans="1:6">
      <c r="A61" s="171">
        <v>2</v>
      </c>
      <c r="B61" s="172" t="s">
        <v>104</v>
      </c>
      <c r="C61" s="152" t="s">
        <v>44</v>
      </c>
      <c r="D61" s="178">
        <v>6</v>
      </c>
      <c r="E61" s="198">
        <f>'Разходи '!D61/ТП!G14*ТП!N14</f>
        <v>0</v>
      </c>
      <c r="F61" s="155"/>
    </row>
    <row r="62" spans="1:6">
      <c r="A62" s="171">
        <v>3</v>
      </c>
      <c r="B62" s="172" t="s">
        <v>105</v>
      </c>
      <c r="C62" s="152" t="s">
        <v>44</v>
      </c>
      <c r="D62" s="153">
        <f>D63+D64+D65</f>
        <v>6.0233620000000005</v>
      </c>
      <c r="E62" s="154">
        <f>E63+E64+E65+E66</f>
        <v>41330.059198244409</v>
      </c>
      <c r="F62" s="155"/>
    </row>
    <row r="63" spans="1:6">
      <c r="A63" s="174"/>
      <c r="B63" s="179" t="s">
        <v>106</v>
      </c>
      <c r="C63" s="161" t="s">
        <v>44</v>
      </c>
      <c r="D63" s="236">
        <v>6.0233620000000005</v>
      </c>
      <c r="E63" s="195">
        <f>D63*1.05</f>
        <v>6.3245301000000005</v>
      </c>
      <c r="F63" s="155"/>
    </row>
    <row r="64" spans="1:6">
      <c r="A64" s="174"/>
      <c r="B64" s="180" t="s">
        <v>107</v>
      </c>
      <c r="C64" s="161" t="s">
        <v>44</v>
      </c>
      <c r="D64" s="50"/>
      <c r="E64" s="195"/>
      <c r="F64" s="155"/>
    </row>
    <row r="65" spans="1:29">
      <c r="A65" s="174"/>
      <c r="B65" s="180" t="s">
        <v>273</v>
      </c>
      <c r="C65" s="161" t="s">
        <v>44</v>
      </c>
      <c r="D65" s="50"/>
      <c r="E65" s="195">
        <f>(ТП!N15*1.3+ТП!N17*3.0957+ТП!N18*1.9025)*45.3*1.95583/1000</f>
        <v>41323.734668144411</v>
      </c>
      <c r="F65" s="155"/>
    </row>
    <row r="66" spans="1:29">
      <c r="A66" s="174"/>
      <c r="B66" s="180" t="s">
        <v>274</v>
      </c>
      <c r="C66" s="161" t="s">
        <v>44</v>
      </c>
      <c r="D66" s="50"/>
      <c r="E66" s="195">
        <f>ТП!N14*0.031*140/1000</f>
        <v>0</v>
      </c>
      <c r="F66" s="155"/>
    </row>
    <row r="67" spans="1:29" ht="57.75" customHeight="1" thickBot="1">
      <c r="A67" s="181">
        <v>4</v>
      </c>
      <c r="B67" s="182" t="s">
        <v>108</v>
      </c>
      <c r="C67" s="183" t="s">
        <v>44</v>
      </c>
      <c r="D67" s="184"/>
      <c r="E67" s="199"/>
      <c r="F67" s="185"/>
    </row>
    <row r="68" spans="1:29" ht="12.75" customHeight="1" thickTop="1">
      <c r="A68" s="143"/>
      <c r="B68" s="186"/>
      <c r="C68" s="186"/>
    </row>
    <row r="69" spans="1:29" ht="12.75" customHeight="1">
      <c r="E69" s="251"/>
    </row>
    <row r="70" spans="1:29" s="187" customFormat="1" ht="12.75">
      <c r="A70" s="257" t="s">
        <v>284</v>
      </c>
      <c r="B70" s="262"/>
      <c r="C70" s="261"/>
      <c r="D70" s="263" t="s">
        <v>211</v>
      </c>
      <c r="E70" s="261"/>
      <c r="F70" s="261"/>
      <c r="G70" s="261"/>
      <c r="H70" s="261"/>
      <c r="I70"/>
      <c r="J70"/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/>
      <c r="V70"/>
      <c r="W70" s="274" t="s">
        <v>211</v>
      </c>
      <c r="X70" s="274"/>
      <c r="Y70" s="274"/>
      <c r="Z70" s="274"/>
      <c r="AA70" s="274"/>
      <c r="AB70" s="274"/>
      <c r="AC70" s="274"/>
    </row>
    <row r="71" spans="1:29" ht="12.75" customHeight="1">
      <c r="A71" s="257"/>
      <c r="B71" s="262"/>
      <c r="C71" s="261"/>
      <c r="D71" s="261"/>
      <c r="E71" s="261"/>
      <c r="F71" s="261"/>
      <c r="G71" s="261"/>
      <c r="H71" s="26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2.75" customHeight="1">
      <c r="A72" s="257"/>
      <c r="B72" s="261" t="s">
        <v>285</v>
      </c>
      <c r="C72" s="261"/>
      <c r="D72" s="261"/>
      <c r="E72" s="273" t="s">
        <v>286</v>
      </c>
      <c r="F72" s="273"/>
      <c r="G72" s="273"/>
      <c r="H72" s="273"/>
      <c r="I72"/>
      <c r="J72"/>
      <c r="K72"/>
      <c r="L72"/>
      <c r="M72"/>
      <c r="N72"/>
      <c r="O72"/>
      <c r="P72"/>
      <c r="Q72" s="272" t="s">
        <v>285</v>
      </c>
      <c r="R72" s="272"/>
      <c r="S72"/>
      <c r="T72"/>
      <c r="U72"/>
      <c r="V72"/>
      <c r="W72"/>
      <c r="X72" s="273" t="s">
        <v>286</v>
      </c>
      <c r="Y72" s="273"/>
      <c r="Z72" s="273"/>
      <c r="AA72" s="273"/>
      <c r="AB72"/>
      <c r="AC72"/>
    </row>
    <row r="73" spans="1:29" ht="12.75" customHeight="1"/>
    <row r="74" spans="1:29" ht="12.75" customHeight="1"/>
    <row r="75" spans="1:29" ht="12.75" customHeight="1"/>
    <row r="76" spans="1:29" ht="12.75" customHeight="1"/>
    <row r="77" spans="1:29" ht="12.75" customHeight="1"/>
    <row r="78" spans="1:29" ht="12.75" customHeight="1"/>
    <row r="79" spans="1:29" ht="12.75" customHeight="1"/>
    <row r="80" spans="1:29" ht="12.75" customHeight="1"/>
    <row r="81" ht="12.75" customHeight="1"/>
    <row r="82"/>
  </sheetData>
  <mergeCells count="14">
    <mergeCell ref="K70:P70"/>
    <mergeCell ref="Q70:T70"/>
    <mergeCell ref="W70:AC70"/>
    <mergeCell ref="E72:H72"/>
    <mergeCell ref="Q72:R72"/>
    <mergeCell ref="X72:AA72"/>
    <mergeCell ref="A1:E1"/>
    <mergeCell ref="A3:E3"/>
    <mergeCell ref="A4:E4"/>
    <mergeCell ref="A7:A9"/>
    <mergeCell ref="B7:B9"/>
    <mergeCell ref="C7:C9"/>
    <mergeCell ref="D7:D9"/>
    <mergeCell ref="E7:E9"/>
  </mergeCells>
  <phoneticPr fontId="15" type="noConversion"/>
  <pageMargins left="0.74803149606299213" right="0.74803149606299213" top="0.76" bottom="0.65" header="0.51181102362204722" footer="0.51181102362204722"/>
  <pageSetup paperSize="9" scale="78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Y28"/>
  <sheetViews>
    <sheetView showGridLines="0" zoomScale="85" workbookViewId="0">
      <selection activeCell="A26" sqref="A26:H29"/>
    </sheetView>
  </sheetViews>
  <sheetFormatPr defaultRowHeight="12.75"/>
  <cols>
    <col min="1" max="1" width="4.28515625" style="1" customWidth="1"/>
    <col min="2" max="2" width="35.7109375" style="3" customWidth="1"/>
    <col min="3" max="3" width="8.85546875" style="3" customWidth="1"/>
    <col min="4" max="4" width="9.42578125" style="3" customWidth="1"/>
    <col min="5" max="5" width="7.7109375" style="3" customWidth="1"/>
    <col min="6" max="7" width="9.28515625" style="3" customWidth="1"/>
    <col min="8" max="8" width="8.85546875" style="3" customWidth="1"/>
    <col min="9" max="9" width="12.42578125" style="3" customWidth="1"/>
    <col min="10" max="16384" width="9.140625" style="3"/>
  </cols>
  <sheetData>
    <row r="2" spans="1:9" ht="15.75">
      <c r="A2" s="303" t="s">
        <v>109</v>
      </c>
      <c r="B2" s="303"/>
      <c r="C2" s="303"/>
      <c r="D2" s="303"/>
      <c r="E2" s="303"/>
      <c r="F2" s="303"/>
      <c r="G2" s="303"/>
      <c r="H2" s="303"/>
      <c r="I2" s="303"/>
    </row>
    <row r="4" spans="1:9" ht="15" customHeight="1">
      <c r="A4" s="304" t="s">
        <v>147</v>
      </c>
      <c r="B4" s="304"/>
      <c r="C4" s="304"/>
      <c r="D4" s="304"/>
      <c r="E4" s="304"/>
      <c r="F4" s="304"/>
      <c r="G4" s="304"/>
      <c r="H4" s="304"/>
      <c r="I4" s="304"/>
    </row>
    <row r="5" spans="1:9" ht="15" customHeight="1">
      <c r="A5" s="305" t="str">
        <f>ТП!A3</f>
        <v>НА "Топлофикация Русе" АД, кондензационен блок №4</v>
      </c>
      <c r="B5" s="305"/>
      <c r="C5" s="305"/>
      <c r="D5" s="305"/>
      <c r="E5" s="305"/>
      <c r="F5" s="305"/>
      <c r="G5" s="305"/>
      <c r="H5" s="305"/>
      <c r="I5" s="305"/>
    </row>
    <row r="6" spans="1:9" ht="13.5" thickBot="1"/>
    <row r="7" spans="1:9" ht="29.25" customHeight="1" thickTop="1">
      <c r="A7" s="306" t="s">
        <v>2</v>
      </c>
      <c r="B7" s="308" t="s">
        <v>110</v>
      </c>
      <c r="C7" s="310" t="s">
        <v>264</v>
      </c>
      <c r="D7" s="310"/>
      <c r="E7" s="310"/>
      <c r="F7" s="310"/>
      <c r="G7" s="310"/>
      <c r="H7" s="310"/>
      <c r="I7" s="311"/>
    </row>
    <row r="8" spans="1:9" s="5" customFormat="1" ht="22.5" customHeight="1">
      <c r="A8" s="307"/>
      <c r="B8" s="309"/>
      <c r="C8" s="28" t="s">
        <v>5</v>
      </c>
      <c r="D8" s="28" t="s">
        <v>6</v>
      </c>
      <c r="E8" s="28" t="s">
        <v>7</v>
      </c>
      <c r="F8" s="28" t="s">
        <v>8</v>
      </c>
      <c r="G8" s="28" t="s">
        <v>9</v>
      </c>
      <c r="H8" s="28" t="s">
        <v>174</v>
      </c>
      <c r="I8" s="124" t="s">
        <v>10</v>
      </c>
    </row>
    <row r="9" spans="1:9" s="6" customFormat="1" ht="11.25">
      <c r="A9" s="31" t="s">
        <v>45</v>
      </c>
      <c r="B9" s="205">
        <v>2</v>
      </c>
      <c r="C9" s="31" t="s">
        <v>265</v>
      </c>
      <c r="D9" s="205">
        <v>4</v>
      </c>
      <c r="E9" s="31" t="s">
        <v>54</v>
      </c>
      <c r="F9" s="205">
        <v>6</v>
      </c>
      <c r="G9" s="31" t="s">
        <v>266</v>
      </c>
      <c r="H9" s="205">
        <v>8</v>
      </c>
      <c r="I9" s="31" t="s">
        <v>267</v>
      </c>
    </row>
    <row r="10" spans="1:9" ht="51.75" customHeight="1">
      <c r="A10" s="7">
        <v>1</v>
      </c>
      <c r="B10" s="215" t="s">
        <v>158</v>
      </c>
      <c r="C10" s="41">
        <f t="shared" ref="C10:H10" si="0">SUM(C11:C17)</f>
        <v>0</v>
      </c>
      <c r="D10" s="41">
        <f t="shared" si="0"/>
        <v>0</v>
      </c>
      <c r="E10" s="41">
        <f t="shared" si="0"/>
        <v>0</v>
      </c>
      <c r="F10" s="41">
        <f t="shared" si="0"/>
        <v>3670.1264200000001</v>
      </c>
      <c r="G10" s="41">
        <f t="shared" si="0"/>
        <v>0</v>
      </c>
      <c r="H10" s="41">
        <f t="shared" si="0"/>
        <v>0</v>
      </c>
      <c r="I10" s="40">
        <f>SUM(C10:H10)</f>
        <v>3670.1264200000001</v>
      </c>
    </row>
    <row r="11" spans="1:9" ht="24" customHeight="1">
      <c r="A11" s="8" t="s">
        <v>111</v>
      </c>
      <c r="B11" s="216" t="s">
        <v>112</v>
      </c>
      <c r="C11" s="38"/>
      <c r="D11" s="38"/>
      <c r="E11" s="38"/>
      <c r="F11" s="38"/>
      <c r="G11" s="38"/>
      <c r="H11" s="38"/>
      <c r="I11" s="40">
        <f t="shared" ref="I11:I21" si="1">SUM(C11:H11)</f>
        <v>0</v>
      </c>
    </row>
    <row r="12" spans="1:9">
      <c r="A12" s="8" t="s">
        <v>113</v>
      </c>
      <c r="B12" s="216" t="s">
        <v>114</v>
      </c>
      <c r="C12" s="38"/>
      <c r="D12" s="38"/>
      <c r="E12" s="38"/>
      <c r="F12" s="237">
        <v>531.85287000000005</v>
      </c>
      <c r="G12" s="38"/>
      <c r="H12" s="38"/>
      <c r="I12" s="40">
        <f t="shared" si="1"/>
        <v>531.85287000000005</v>
      </c>
    </row>
    <row r="13" spans="1:9">
      <c r="A13" s="8" t="s">
        <v>115</v>
      </c>
      <c r="B13" s="216" t="s">
        <v>116</v>
      </c>
      <c r="C13" s="38"/>
      <c r="D13" s="38"/>
      <c r="E13" s="38"/>
      <c r="F13" s="237">
        <v>3138.2735499999999</v>
      </c>
      <c r="G13" s="38"/>
      <c r="H13" s="38"/>
      <c r="I13" s="40">
        <f t="shared" si="1"/>
        <v>3138.2735499999999</v>
      </c>
    </row>
    <row r="14" spans="1:9">
      <c r="A14" s="8" t="s">
        <v>117</v>
      </c>
      <c r="B14" s="216" t="s">
        <v>118</v>
      </c>
      <c r="C14" s="38"/>
      <c r="D14" s="38"/>
      <c r="E14" s="38"/>
      <c r="F14" s="38"/>
      <c r="G14" s="38"/>
      <c r="H14" s="38"/>
      <c r="I14" s="40">
        <f t="shared" si="1"/>
        <v>0</v>
      </c>
    </row>
    <row r="15" spans="1:9">
      <c r="A15" s="8" t="s">
        <v>119</v>
      </c>
      <c r="B15" s="216" t="s">
        <v>120</v>
      </c>
      <c r="C15" s="38"/>
      <c r="D15" s="38"/>
      <c r="E15" s="38"/>
      <c r="F15" s="38"/>
      <c r="G15" s="38"/>
      <c r="H15" s="38"/>
      <c r="I15" s="40">
        <f t="shared" si="1"/>
        <v>0</v>
      </c>
    </row>
    <row r="16" spans="1:9" ht="25.5" customHeight="1">
      <c r="A16" s="8" t="s">
        <v>121</v>
      </c>
      <c r="B16" s="216" t="s">
        <v>122</v>
      </c>
      <c r="C16" s="38"/>
      <c r="D16" s="38"/>
      <c r="E16" s="38"/>
      <c r="F16" s="38"/>
      <c r="G16" s="38"/>
      <c r="H16" s="38"/>
      <c r="I16" s="40">
        <f t="shared" si="1"/>
        <v>0</v>
      </c>
    </row>
    <row r="17" spans="1:25" ht="33" customHeight="1">
      <c r="A17" s="8" t="s">
        <v>242</v>
      </c>
      <c r="B17" s="216" t="s">
        <v>149</v>
      </c>
      <c r="C17" s="38"/>
      <c r="D17" s="38"/>
      <c r="E17" s="38"/>
      <c r="F17" s="38"/>
      <c r="G17" s="38"/>
      <c r="H17" s="38"/>
      <c r="I17" s="40">
        <f t="shared" si="1"/>
        <v>0</v>
      </c>
    </row>
    <row r="18" spans="1:25" s="2" customFormat="1" ht="33" customHeight="1">
      <c r="A18" s="7" t="s">
        <v>162</v>
      </c>
      <c r="B18" s="215" t="s">
        <v>159</v>
      </c>
      <c r="C18" s="42">
        <f t="shared" ref="C18:H18" si="2">C19+C20</f>
        <v>0</v>
      </c>
      <c r="D18" s="42">
        <f t="shared" si="2"/>
        <v>0</v>
      </c>
      <c r="E18" s="42">
        <f t="shared" si="2"/>
        <v>0</v>
      </c>
      <c r="F18" s="42">
        <f t="shared" si="2"/>
        <v>0</v>
      </c>
      <c r="G18" s="42">
        <f t="shared" si="2"/>
        <v>0</v>
      </c>
      <c r="H18" s="42">
        <f t="shared" si="2"/>
        <v>0</v>
      </c>
      <c r="I18" s="40">
        <f t="shared" si="1"/>
        <v>0</v>
      </c>
    </row>
    <row r="19" spans="1:25" ht="18" customHeight="1">
      <c r="A19" s="8"/>
      <c r="B19" s="216" t="s">
        <v>160</v>
      </c>
      <c r="C19" s="38"/>
      <c r="D19" s="38"/>
      <c r="E19" s="38"/>
      <c r="F19" s="38"/>
      <c r="G19" s="38"/>
      <c r="H19" s="38"/>
      <c r="I19" s="40">
        <f t="shared" si="1"/>
        <v>0</v>
      </c>
    </row>
    <row r="20" spans="1:25" ht="16.5" customHeight="1">
      <c r="A20" s="8"/>
      <c r="B20" s="216" t="s">
        <v>161</v>
      </c>
      <c r="C20" s="38"/>
      <c r="D20" s="38"/>
      <c r="E20" s="38"/>
      <c r="F20" s="38"/>
      <c r="G20" s="38"/>
      <c r="H20" s="38"/>
      <c r="I20" s="40">
        <f t="shared" si="1"/>
        <v>0</v>
      </c>
    </row>
    <row r="21" spans="1:25" ht="30" customHeight="1">
      <c r="A21" s="7" t="s">
        <v>163</v>
      </c>
      <c r="B21" s="215" t="s">
        <v>168</v>
      </c>
      <c r="C21" s="38"/>
      <c r="D21" s="38"/>
      <c r="E21" s="38"/>
      <c r="F21" s="38"/>
      <c r="G21" s="38"/>
      <c r="H21" s="38"/>
      <c r="I21" s="40">
        <f t="shared" si="1"/>
        <v>0</v>
      </c>
    </row>
    <row r="22" spans="1:25">
      <c r="A22" s="9" t="s">
        <v>164</v>
      </c>
      <c r="B22" s="217" t="s">
        <v>123</v>
      </c>
      <c r="C22" s="10"/>
      <c r="D22" s="10"/>
      <c r="E22" s="10"/>
      <c r="F22" s="10"/>
      <c r="G22" s="10"/>
      <c r="H22" s="10"/>
      <c r="I22" s="234">
        <v>0</v>
      </c>
    </row>
    <row r="23" spans="1:25" ht="26.25" thickBot="1">
      <c r="A23" s="11" t="s">
        <v>165</v>
      </c>
      <c r="B23" s="123" t="s">
        <v>150</v>
      </c>
      <c r="C23" s="12">
        <f t="shared" ref="C23:H23" si="3">C10+C17-C21+C22</f>
        <v>0</v>
      </c>
      <c r="D23" s="12">
        <f t="shared" si="3"/>
        <v>0</v>
      </c>
      <c r="E23" s="12">
        <f t="shared" si="3"/>
        <v>0</v>
      </c>
      <c r="F23" s="12">
        <f t="shared" si="3"/>
        <v>3670.1264200000001</v>
      </c>
      <c r="G23" s="12">
        <f t="shared" si="3"/>
        <v>0</v>
      </c>
      <c r="H23" s="12">
        <f t="shared" si="3"/>
        <v>0</v>
      </c>
      <c r="I23" s="39">
        <f>I10-I21+I22</f>
        <v>3670.1264200000001</v>
      </c>
    </row>
    <row r="24" spans="1:25" ht="13.5" thickTop="1">
      <c r="G24" s="14"/>
      <c r="H24" s="14"/>
    </row>
    <row r="25" spans="1: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>
      <c r="A26" s="257" t="s">
        <v>284</v>
      </c>
      <c r="B26" s="262"/>
      <c r="C26" s="261"/>
      <c r="D26" s="263" t="s">
        <v>211</v>
      </c>
      <c r="E26" s="261"/>
      <c r="F26" s="261"/>
      <c r="G26" s="261"/>
      <c r="H26" s="261"/>
    </row>
    <row r="27" spans="1:25">
      <c r="A27" s="257"/>
      <c r="B27" s="262"/>
      <c r="C27" s="261"/>
      <c r="D27" s="261"/>
      <c r="E27" s="261"/>
      <c r="F27" s="261"/>
      <c r="G27" s="261"/>
      <c r="H27" s="261"/>
    </row>
    <row r="28" spans="1:25">
      <c r="A28" s="257"/>
      <c r="B28" s="261" t="s">
        <v>285</v>
      </c>
      <c r="C28" s="261"/>
      <c r="D28" s="261"/>
      <c r="E28" s="273" t="s">
        <v>286</v>
      </c>
      <c r="F28" s="273"/>
      <c r="G28" s="273"/>
      <c r="H28" s="273"/>
    </row>
  </sheetData>
  <mergeCells count="7">
    <mergeCell ref="E28:H28"/>
    <mergeCell ref="A2:I2"/>
    <mergeCell ref="A4:I4"/>
    <mergeCell ref="A5:I5"/>
    <mergeCell ref="A7:A8"/>
    <mergeCell ref="B7:B8"/>
    <mergeCell ref="C7:I7"/>
  </mergeCells>
  <phoneticPr fontId="0" type="noConversion"/>
  <pageMargins left="0.15748031496062992" right="0.15748031496062992" top="0.27559055118110237" bottom="0.35433070866141736" header="0.31496062992125984" footer="0.31496062992125984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G31"/>
  <sheetViews>
    <sheetView showGridLines="0" tabSelected="1" workbookViewId="0">
      <selection activeCell="A28" sqref="A28:G30"/>
    </sheetView>
  </sheetViews>
  <sheetFormatPr defaultRowHeight="12.75"/>
  <cols>
    <col min="1" max="1" width="6.140625" style="3" customWidth="1"/>
    <col min="2" max="2" width="55.5703125" style="3" customWidth="1"/>
    <col min="3" max="3" width="8.5703125" style="3" customWidth="1"/>
    <col min="4" max="4" width="17.42578125" style="3" customWidth="1"/>
    <col min="5" max="16384" width="9.140625" style="3"/>
  </cols>
  <sheetData>
    <row r="2" spans="1:4">
      <c r="A2" s="15"/>
      <c r="B2" s="15"/>
      <c r="C2" s="15"/>
      <c r="D2" s="15"/>
    </row>
    <row r="3" spans="1:4">
      <c r="D3" s="13"/>
    </row>
    <row r="4" spans="1:4" ht="15.75">
      <c r="A4" s="303" t="s">
        <v>124</v>
      </c>
      <c r="B4" s="303"/>
      <c r="C4" s="303"/>
      <c r="D4" s="303"/>
    </row>
    <row r="5" spans="1:4" ht="15">
      <c r="A5" s="16"/>
      <c r="B5" s="16"/>
      <c r="C5" s="16"/>
      <c r="D5" s="16"/>
    </row>
    <row r="6" spans="1:4" ht="14.25">
      <c r="A6" s="312" t="s">
        <v>125</v>
      </c>
      <c r="B6" s="312"/>
      <c r="C6" s="312"/>
      <c r="D6" s="312"/>
    </row>
    <row r="7" spans="1:4" ht="14.25">
      <c r="A7" s="17"/>
      <c r="B7" s="17"/>
      <c r="C7" s="17"/>
      <c r="D7" s="17"/>
    </row>
    <row r="8" spans="1:4" ht="14.25">
      <c r="A8" s="305" t="str">
        <f>ТП!A3</f>
        <v>НА "Топлофикация Русе" АД, кондензационен блок №4</v>
      </c>
      <c r="B8" s="305"/>
      <c r="C8" s="305"/>
      <c r="D8" s="305"/>
    </row>
    <row r="9" spans="1:4">
      <c r="A9" s="2"/>
    </row>
    <row r="10" spans="1:4" ht="13.5" thickBot="1"/>
    <row r="11" spans="1:4" s="18" customFormat="1" ht="54.75" customHeight="1" thickTop="1">
      <c r="A11" s="211" t="s">
        <v>2</v>
      </c>
      <c r="B11" s="212" t="s">
        <v>110</v>
      </c>
      <c r="C11" s="213" t="s">
        <v>126</v>
      </c>
      <c r="D11" s="214" t="s">
        <v>268</v>
      </c>
    </row>
    <row r="12" spans="1:4" s="18" customFormat="1" ht="15.75" customHeight="1">
      <c r="A12" s="122">
        <v>1</v>
      </c>
      <c r="B12" s="29">
        <v>2</v>
      </c>
      <c r="C12" s="29">
        <v>3</v>
      </c>
      <c r="D12" s="30">
        <v>5</v>
      </c>
    </row>
    <row r="13" spans="1:4" s="22" customFormat="1" ht="17.25" customHeight="1">
      <c r="A13" s="19">
        <v>1</v>
      </c>
      <c r="B13" s="20" t="s">
        <v>127</v>
      </c>
      <c r="C13" s="21" t="s">
        <v>44</v>
      </c>
      <c r="D13" s="33">
        <v>86690</v>
      </c>
    </row>
    <row r="14" spans="1:4" s="22" customFormat="1" ht="18" customHeight="1">
      <c r="A14" s="19">
        <v>2</v>
      </c>
      <c r="B14" s="20" t="s">
        <v>128</v>
      </c>
      <c r="C14" s="21" t="s">
        <v>13</v>
      </c>
      <c r="D14" s="34">
        <f>IF(D13+D16=0,0,D13/(D13+D16))</f>
        <v>0.76629879039867643</v>
      </c>
    </row>
    <row r="15" spans="1:4" s="22" customFormat="1" ht="17.25" customHeight="1">
      <c r="A15" s="19">
        <v>3</v>
      </c>
      <c r="B15" s="20" t="s">
        <v>129</v>
      </c>
      <c r="C15" s="21" t="s">
        <v>13</v>
      </c>
      <c r="D15" s="35">
        <v>7.0000000000000007E-2</v>
      </c>
    </row>
    <row r="16" spans="1:4" s="22" customFormat="1" ht="18" customHeight="1">
      <c r="A16" s="19">
        <v>4</v>
      </c>
      <c r="B16" s="20" t="s">
        <v>130</v>
      </c>
      <c r="C16" s="21" t="s">
        <v>44</v>
      </c>
      <c r="D16" s="27">
        <f>SUM(D17:D18)</f>
        <v>26438.196319999999</v>
      </c>
    </row>
    <row r="17" spans="1:7" s="22" customFormat="1" ht="18" customHeight="1">
      <c r="A17" s="19"/>
      <c r="B17" s="20" t="s">
        <v>131</v>
      </c>
      <c r="C17" s="21" t="s">
        <v>44</v>
      </c>
      <c r="D17" s="23"/>
    </row>
    <row r="18" spans="1:7" s="22" customFormat="1" ht="18" customHeight="1">
      <c r="A18" s="19"/>
      <c r="B18" s="20" t="s">
        <v>132</v>
      </c>
      <c r="C18" s="21" t="s">
        <v>44</v>
      </c>
      <c r="D18" s="23">
        <v>26438.196319999999</v>
      </c>
    </row>
    <row r="19" spans="1:7" s="22" customFormat="1" ht="18" customHeight="1">
      <c r="A19" s="19">
        <v>5</v>
      </c>
      <c r="B19" s="20" t="s">
        <v>133</v>
      </c>
      <c r="C19" s="21" t="s">
        <v>13</v>
      </c>
      <c r="D19" s="34">
        <f>IF(D13+D16=0,0,D16/(D13+D16))</f>
        <v>0.23370120960132354</v>
      </c>
    </row>
    <row r="20" spans="1:7" s="22" customFormat="1" ht="29.25" customHeight="1">
      <c r="A20" s="19">
        <v>6</v>
      </c>
      <c r="B20" s="20" t="s">
        <v>134</v>
      </c>
      <c r="C20" s="21" t="s">
        <v>13</v>
      </c>
      <c r="D20" s="32">
        <v>3.9100000000000003E-2</v>
      </c>
    </row>
    <row r="21" spans="1:7" s="22" customFormat="1" ht="18" customHeight="1">
      <c r="A21" s="19">
        <v>7</v>
      </c>
      <c r="B21" s="20" t="s">
        <v>148</v>
      </c>
      <c r="C21" s="21" t="s">
        <v>13</v>
      </c>
      <c r="D21" s="36">
        <v>0.1</v>
      </c>
    </row>
    <row r="22" spans="1:7" ht="18" customHeight="1" thickBot="1">
      <c r="A22" s="26">
        <v>8</v>
      </c>
      <c r="B22" s="25" t="s">
        <v>135</v>
      </c>
      <c r="C22" s="24" t="s">
        <v>13</v>
      </c>
      <c r="D22" s="37">
        <f>D14*(D15/(1-D21))+D19*D20</f>
        <v>6.8738734326419915E-2</v>
      </c>
    </row>
    <row r="23" spans="1:7" ht="13.5" thickTop="1"/>
    <row r="25" spans="1:7" ht="49.5" customHeight="1">
      <c r="A25" s="313" t="s">
        <v>270</v>
      </c>
      <c r="B25" s="313"/>
      <c r="C25" s="313"/>
      <c r="D25" s="313"/>
    </row>
    <row r="28" spans="1:7" s="2" customFormat="1">
      <c r="A28" s="257" t="s">
        <v>284</v>
      </c>
      <c r="B28" s="262"/>
      <c r="C28" s="263" t="s">
        <v>211</v>
      </c>
      <c r="D28" s="261"/>
      <c r="E28" s="261"/>
      <c r="F28" s="261"/>
      <c r="G28" s="261"/>
    </row>
    <row r="29" spans="1:7">
      <c r="A29" s="257"/>
      <c r="B29" s="262"/>
      <c r="C29" s="261"/>
      <c r="D29" s="261"/>
      <c r="E29" s="261"/>
      <c r="F29" s="261"/>
      <c r="G29" s="261"/>
    </row>
    <row r="30" spans="1:7">
      <c r="A30" s="257"/>
      <c r="B30" s="261" t="s">
        <v>285</v>
      </c>
      <c r="C30" s="261"/>
      <c r="D30" s="273" t="s">
        <v>286</v>
      </c>
      <c r="E30" s="273"/>
      <c r="F30" s="273"/>
      <c r="G30" s="273"/>
    </row>
    <row r="31" spans="1:7">
      <c r="A31" s="1"/>
    </row>
  </sheetData>
  <mergeCells count="5">
    <mergeCell ref="D30:G30"/>
    <mergeCell ref="A4:D4"/>
    <mergeCell ref="A6:D6"/>
    <mergeCell ref="A8:D8"/>
    <mergeCell ref="A25:D25"/>
  </mergeCells>
  <phoneticPr fontId="0" type="noConversion"/>
  <pageMargins left="0.23622047244094491" right="0.27559055118110237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3:G30"/>
  <sheetViews>
    <sheetView topLeftCell="A7" workbookViewId="0">
      <selection activeCell="D27" sqref="D27"/>
    </sheetView>
  </sheetViews>
  <sheetFormatPr defaultRowHeight="12.75"/>
  <cols>
    <col min="1" max="1" width="5.5703125" style="15" customWidth="1"/>
    <col min="2" max="2" width="45.85546875" style="3" customWidth="1"/>
    <col min="3" max="3" width="8.7109375" style="3" customWidth="1"/>
    <col min="4" max="4" width="12.7109375" style="3" customWidth="1"/>
    <col min="5" max="5" width="14.28515625" style="3" customWidth="1"/>
    <col min="6" max="16384" width="9.140625" style="3"/>
  </cols>
  <sheetData>
    <row r="3" spans="1:7" ht="15.75">
      <c r="A3" s="303" t="s">
        <v>136</v>
      </c>
      <c r="B3" s="303"/>
      <c r="C3" s="303"/>
      <c r="D3" s="303"/>
      <c r="E3" s="303"/>
    </row>
    <row r="5" spans="1:7" ht="33.75" customHeight="1">
      <c r="A5" s="314" t="s">
        <v>137</v>
      </c>
      <c r="B5" s="314"/>
      <c r="C5" s="314"/>
      <c r="D5" s="314"/>
      <c r="E5" s="314"/>
    </row>
    <row r="6" spans="1:7" ht="14.25">
      <c r="A6" s="43"/>
      <c r="B6" s="43"/>
      <c r="C6" s="43"/>
      <c r="D6" s="43"/>
      <c r="E6" s="43"/>
    </row>
    <row r="7" spans="1:7" ht="14.25">
      <c r="A7" s="305" t="str">
        <f>ТП!A3</f>
        <v>НА "Топлофикация Русе" АД, кондензационен блок №4</v>
      </c>
      <c r="B7" s="305"/>
      <c r="C7" s="305"/>
      <c r="D7" s="305"/>
      <c r="E7" s="305"/>
    </row>
    <row r="8" spans="1:7" ht="14.25">
      <c r="A8" s="43"/>
      <c r="B8" s="17"/>
      <c r="C8" s="17"/>
      <c r="D8" s="17"/>
      <c r="E8" s="17"/>
    </row>
    <row r="9" spans="1:7" ht="3" customHeight="1" thickBot="1"/>
    <row r="10" spans="1:7" ht="15" customHeight="1" thickTop="1">
      <c r="A10" s="317" t="s">
        <v>2</v>
      </c>
      <c r="B10" s="315" t="s">
        <v>208</v>
      </c>
      <c r="C10" s="315" t="s">
        <v>4</v>
      </c>
      <c r="D10" s="315" t="s">
        <v>269</v>
      </c>
      <c r="E10" s="316" t="s">
        <v>277</v>
      </c>
    </row>
    <row r="11" spans="1:7" ht="36.75" customHeight="1">
      <c r="A11" s="318"/>
      <c r="B11" s="270"/>
      <c r="C11" s="270"/>
      <c r="D11" s="300"/>
      <c r="E11" s="302"/>
      <c r="G11" s="247"/>
    </row>
    <row r="12" spans="1:7" ht="11.25" customHeight="1">
      <c r="A12" s="218">
        <v>1</v>
      </c>
      <c r="B12" s="205">
        <v>2</v>
      </c>
      <c r="C12" s="205">
        <v>3</v>
      </c>
      <c r="D12" s="205">
        <v>4</v>
      </c>
      <c r="E12" s="208">
        <v>5</v>
      </c>
    </row>
    <row r="13" spans="1:7">
      <c r="A13" s="219">
        <v>1</v>
      </c>
      <c r="B13" s="220" t="s">
        <v>169</v>
      </c>
      <c r="C13" s="161" t="s">
        <v>11</v>
      </c>
      <c r="D13" s="206">
        <f>ТП!J11</f>
        <v>39858.971000000005</v>
      </c>
      <c r="E13" s="209">
        <f>ТП!Q11</f>
        <v>589892.95809086412</v>
      </c>
    </row>
    <row r="14" spans="1:7" ht="24">
      <c r="A14" s="219">
        <v>2</v>
      </c>
      <c r="B14" s="224" t="s">
        <v>234</v>
      </c>
      <c r="C14" s="161" t="s">
        <v>11</v>
      </c>
      <c r="D14" s="207">
        <f>ТП!J44</f>
        <v>675512.86</v>
      </c>
      <c r="E14" s="210">
        <f>ТП!Q44</f>
        <v>589892.95809086412</v>
      </c>
    </row>
    <row r="15" spans="1:7" ht="12" customHeight="1">
      <c r="A15" s="219">
        <v>3</v>
      </c>
      <c r="B15" s="220" t="s">
        <v>101</v>
      </c>
      <c r="C15" s="161" t="s">
        <v>138</v>
      </c>
      <c r="D15" s="206">
        <f>'Разходи '!D53</f>
        <v>5496.6524627157241</v>
      </c>
      <c r="E15" s="209">
        <f>'Разходи '!E53</f>
        <v>116699.56805895665</v>
      </c>
    </row>
    <row r="16" spans="1:7">
      <c r="A16" s="219">
        <v>4</v>
      </c>
      <c r="B16" s="220" t="s">
        <v>139</v>
      </c>
      <c r="C16" s="161" t="s">
        <v>138</v>
      </c>
      <c r="D16" s="206">
        <f>'Разходи '!D11</f>
        <v>1394.6422610000002</v>
      </c>
      <c r="E16" s="209">
        <f>'Разходи '!E11</f>
        <v>3111.9094813500001</v>
      </c>
    </row>
    <row r="17" spans="1:7">
      <c r="A17" s="219">
        <v>5</v>
      </c>
      <c r="B17" s="220" t="s">
        <v>140</v>
      </c>
      <c r="C17" s="161" t="s">
        <v>138</v>
      </c>
      <c r="D17" s="233"/>
      <c r="E17" s="239">
        <f>НВ!D22*РБА!I23</f>
        <v>252.27984492875464</v>
      </c>
    </row>
    <row r="18" spans="1:7">
      <c r="A18" s="219">
        <v>6</v>
      </c>
      <c r="B18" s="220" t="s">
        <v>141</v>
      </c>
      <c r="C18" s="161" t="s">
        <v>138</v>
      </c>
      <c r="D18" s="207">
        <f>D16+D17</f>
        <v>1394.6422610000002</v>
      </c>
      <c r="E18" s="210">
        <f>E16+E17</f>
        <v>3364.1893262787548</v>
      </c>
    </row>
    <row r="19" spans="1:7">
      <c r="A19" s="219">
        <v>7</v>
      </c>
      <c r="B19" s="220" t="s">
        <v>145</v>
      </c>
      <c r="C19" s="161" t="s">
        <v>138</v>
      </c>
      <c r="D19" s="207">
        <f>D15+D16+D17</f>
        <v>6891.2947237157241</v>
      </c>
      <c r="E19" s="210">
        <f>E15+E16+E17</f>
        <v>120063.7573852354</v>
      </c>
    </row>
    <row r="20" spans="1:7">
      <c r="A20" s="219">
        <v>8</v>
      </c>
      <c r="B20" s="221" t="s">
        <v>142</v>
      </c>
      <c r="C20" s="161" t="s">
        <v>146</v>
      </c>
      <c r="D20" s="240">
        <f>(D16+D17)/D14*1000</f>
        <v>2.0645680394596782</v>
      </c>
      <c r="E20" s="238">
        <f>(E16+E17)/E14*1000</f>
        <v>5.7030504943924969</v>
      </c>
    </row>
    <row r="21" spans="1:7">
      <c r="A21" s="219">
        <v>9</v>
      </c>
      <c r="B21" s="221" t="s">
        <v>143</v>
      </c>
      <c r="C21" s="161" t="s">
        <v>146</v>
      </c>
      <c r="D21" s="240">
        <f>D15/D13*1000</f>
        <v>137.90251792289678</v>
      </c>
      <c r="E21" s="238">
        <f>E15/E13*1000</f>
        <v>197.83177008358328</v>
      </c>
    </row>
    <row r="22" spans="1:7" ht="13.5" thickBot="1">
      <c r="A22" s="222">
        <v>10</v>
      </c>
      <c r="B22" s="223" t="s">
        <v>144</v>
      </c>
      <c r="C22" s="200" t="s">
        <v>146</v>
      </c>
      <c r="D22" s="241">
        <f>(D15+D16+D17)/D13*1000</f>
        <v>172.89193751930333</v>
      </c>
      <c r="E22" s="242">
        <f>(E15+E16+E17)/E13*1000</f>
        <v>203.53482057797575</v>
      </c>
    </row>
    <row r="23" spans="1:7" ht="13.5" thickTop="1">
      <c r="A23" s="4"/>
      <c r="B23" s="44"/>
      <c r="C23" s="44"/>
      <c r="D23" s="44"/>
      <c r="E23" s="44"/>
    </row>
    <row r="24" spans="1:7">
      <c r="A24" s="4"/>
      <c r="B24" s="44"/>
      <c r="C24" s="44"/>
      <c r="D24" s="44"/>
      <c r="E24" s="44"/>
    </row>
    <row r="25" spans="1:7">
      <c r="A25" s="4"/>
      <c r="B25" s="44"/>
      <c r="C25" s="44"/>
      <c r="D25" s="44"/>
      <c r="E25" s="44"/>
    </row>
    <row r="26" spans="1:7">
      <c r="A26" s="257" t="s">
        <v>284</v>
      </c>
      <c r="B26" s="262"/>
      <c r="C26" s="263" t="s">
        <v>211</v>
      </c>
      <c r="D26" s="261"/>
      <c r="E26" s="261"/>
      <c r="F26" s="261"/>
      <c r="G26" s="261"/>
    </row>
    <row r="27" spans="1:7">
      <c r="A27" s="257"/>
      <c r="B27" s="262"/>
      <c r="C27" s="261"/>
      <c r="D27" s="261"/>
      <c r="E27" s="261"/>
      <c r="F27" s="261"/>
      <c r="G27" s="261"/>
    </row>
    <row r="28" spans="1:7" s="2" customFormat="1">
      <c r="A28" s="257"/>
      <c r="B28" s="261" t="s">
        <v>285</v>
      </c>
      <c r="C28" s="261"/>
      <c r="D28" s="273" t="s">
        <v>286</v>
      </c>
      <c r="E28" s="273"/>
      <c r="F28" s="273"/>
      <c r="G28" s="273"/>
    </row>
    <row r="29" spans="1:7">
      <c r="A29" s="4"/>
      <c r="B29" s="246"/>
      <c r="C29" s="44"/>
      <c r="D29" s="44"/>
      <c r="E29" s="44"/>
    </row>
    <row r="30" spans="1:7">
      <c r="A30" s="4"/>
      <c r="B30" s="44"/>
      <c r="C30" s="44"/>
      <c r="D30" s="44"/>
      <c r="E30" s="44"/>
    </row>
  </sheetData>
  <mergeCells count="9">
    <mergeCell ref="D28:G28"/>
    <mergeCell ref="A3:E3"/>
    <mergeCell ref="A5:E5"/>
    <mergeCell ref="A7:E7"/>
    <mergeCell ref="B10:B11"/>
    <mergeCell ref="C10:C11"/>
    <mergeCell ref="D10:D11"/>
    <mergeCell ref="E10:E11"/>
    <mergeCell ref="A10:A11"/>
  </mergeCells>
  <phoneticPr fontId="15" type="noConversion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Горива</vt:lpstr>
      <vt:lpstr>Договори</vt:lpstr>
      <vt:lpstr>ТП</vt:lpstr>
      <vt:lpstr>Разходи </vt:lpstr>
      <vt:lpstr>РБА</vt:lpstr>
      <vt:lpstr>НВ</vt:lpstr>
      <vt:lpstr>ТИП </vt:lpstr>
      <vt:lpstr>Горива!Print_Titles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dk-lstoy</dc:creator>
  <cp:lastModifiedBy>georgievavn</cp:lastModifiedBy>
  <cp:lastPrinted>2021-03-30T15:03:31Z</cp:lastPrinted>
  <dcterms:created xsi:type="dcterms:W3CDTF">2004-03-09T08:06:01Z</dcterms:created>
  <dcterms:modified xsi:type="dcterms:W3CDTF">2021-03-31T08:30:15Z</dcterms:modified>
</cp:coreProperties>
</file>